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mc:AlternateContent xmlns:mc="http://schemas.openxmlformats.org/markup-compatibility/2006">
    <mc:Choice Requires="x15">
      <x15ac:absPath xmlns:x15ac="http://schemas.microsoft.com/office/spreadsheetml/2010/11/ac" url="C:\Users\morgan.faye\JDrive\my.asp-public\"/>
    </mc:Choice>
  </mc:AlternateContent>
  <xr:revisionPtr revIDLastSave="0" documentId="13_ncr:1_{16D4CC30-F09D-4EED-8B6C-303749AC57B0}" xr6:coauthVersionLast="47" xr6:coauthVersionMax="47" xr10:uidLastSave="{00000000-0000-0000-0000-000000000000}"/>
  <bookViews>
    <workbookView xWindow="-28920" yWindow="-15" windowWidth="29040" windowHeight="15720" tabRatio="940" xr2:uid="{00000000-000D-0000-FFFF-FFFF00000000}"/>
  </bookViews>
  <sheets>
    <sheet name="Suivi modif" sheetId="19" r:id="rId1"/>
    <sheet name="Accueil" sheetId="1" r:id="rId2"/>
    <sheet name="Identification" sheetId="3" r:id="rId3"/>
    <sheet name="Surfaces" sheetId="4" r:id="rId4"/>
    <sheet name="Surfaces_Horti" sheetId="23" r:id="rId5"/>
    <sheet name="Biodiversité" sheetId="5" r:id="rId6"/>
    <sheet name="Phyto" sheetId="6" r:id="rId7"/>
    <sheet name="Fertilisation" sheetId="7" r:id="rId8"/>
    <sheet name="Irrigation" sheetId="8" r:id="rId9"/>
    <sheet name="SYNTHESE" sheetId="10" r:id="rId10"/>
    <sheet name="Listes" sheetId="2" state="veryHidden" r:id="rId11"/>
    <sheet name="Paramètres" sheetId="9" state="veryHidden" r:id="rId12"/>
    <sheet name="Ctrl_Siret" sheetId="25" state="veryHidden" r:id="rId13"/>
    <sheet name="Ctrl_mail" sheetId="29" state="veryHidden" r:id="rId14"/>
    <sheet name="OTEX" sheetId="18" state="hidden" r:id="rId15"/>
    <sheet name="Scoring_GC" sheetId="11" r:id="rId16"/>
    <sheet name="Scoring_Arboriculture" sheetId="13" r:id="rId17"/>
    <sheet name="Scoring_Viticulture" sheetId="15" r:id="rId18"/>
    <sheet name="Communes_07-26" sheetId="17" r:id="rId19"/>
    <sheet name="Synthese_coll_v1.05" sheetId="26" r:id="rId20"/>
  </sheets>
  <definedNames>
    <definedName name="_xlnm._FilterDatabase" localSheetId="11" hidden="1">Paramètres!$BB$4:$BF$4</definedName>
    <definedName name="_xlnm._FilterDatabase" localSheetId="16" hidden="1">Scoring_Arboriculture!$E$3:$K$282</definedName>
    <definedName name="_xlnm._FilterDatabase" localSheetId="15" hidden="1">Scoring_GC!$B$4:$F$26</definedName>
    <definedName name="A_ACTIVITE_PRINCIPALE">Identification!$T$63</definedName>
    <definedName name="A_ACTIVITE_SECOND">Identification!$T$65</definedName>
    <definedName name="A_AUTRE_ACTIVITE">Identification!$T$67</definedName>
    <definedName name="ADRESSE_EXPLOITATION_SIEGE">Identification!$R$34</definedName>
    <definedName name="AJONC_N">Surfaces!$O$33</definedName>
    <definedName name="AJONC_N1">Surfaces!$P$33</definedName>
    <definedName name="AJONC_N2">Surfaces!$Q$33</definedName>
    <definedName name="ALIGN_CONV_ARA">Biodiversité!$W$18</definedName>
    <definedName name="ALIGN_CONV_SURF">Biodiversité!$Y$18</definedName>
    <definedName name="ALIGN_REEL_ARA">Biodiversité!$P$18</definedName>
    <definedName name="ALIGN_REEL_SURF">Biodiversité!$R$18</definedName>
    <definedName name="ALIGN_UNITE">Biodiversité!$T$18</definedName>
    <definedName name="ALTER_POURCENTAGE_SURF_HORS_HORTI">Phyto!$N$239</definedName>
    <definedName name="ALTER_POURCENTAGE_SURF_HORTI">Phyto!$N$240</definedName>
    <definedName name="ALTER_RESULTAT_HORS_HORTI">Phyto!$P$239</definedName>
    <definedName name="ALTER_RESULTAT_HORTI">Phyto!$P$240</definedName>
    <definedName name="ALTER_SAU_HORS_HORTI">Phyto!$N$237</definedName>
    <definedName name="ALTER_SURF_HORS_HORTI">Phyto!$N$231</definedName>
    <definedName name="ALTER_SURF_HORTI">Phyto!$N$232</definedName>
    <definedName name="ANALYSE_MICROBIO">Biodiversité!$O$242</definedName>
    <definedName name="ANCIENNE_REGION">Phyto!$I$73</definedName>
    <definedName name="ANNEE_CREATION_EXPLOITATION">Identification!$F$42</definedName>
    <definedName name="ARBO_ANC_PLAFOND_IFT_HERBICIDES">Phyto!$N$91</definedName>
    <definedName name="ARBO_ANC_PLAFOND_IFT_HORS_HERBICIDES">Phyto!$N$92</definedName>
    <definedName name="ARBO_ANC_PLANCHER_IFT_HERBICIDES">Phyto!$P$91</definedName>
    <definedName name="ARBO_ANC_PLANCHER_IFT_HORS_HERBICIDES">Phyto!$P$92</definedName>
    <definedName name="ARBO_ANCIENNE_NOTATION">Phyto!$R$115</definedName>
    <definedName name="ARBO_CONDITION_ANCIENNE_NOTATION">Phyto!$T$109</definedName>
    <definedName name="ARBO_IFT_REALISE_HERBICIDES">Phyto!$P$105</definedName>
    <definedName name="ARBO_IFT_REALISE_HORS_HERBICIDES">Phyto!$P$106</definedName>
    <definedName name="ARBO_IFT_REALISE_N_HERBICIDES">Phyto!$P$99</definedName>
    <definedName name="ARBO_IFT_REALISE_N_HORS_HERBICIDES">Phyto!$P$100</definedName>
    <definedName name="ARBO_IFT_REALISE_N1_HERBICIDES">Phyto!$P$101</definedName>
    <definedName name="ARBO_IFT_REALISE_N1_HORS_HERBICIDES">Phyto!$P$102</definedName>
    <definedName name="ARBO_IFT_REALISE_N2_HERBICIDES">Phyto!$P$103</definedName>
    <definedName name="ARBO_IFT_REALISE_N2_HORS_HERBICIDES">Phyto!$P$104</definedName>
    <definedName name="ARBO_MAX_POINTS">Phyto!$O$121</definedName>
    <definedName name="ARBO_NB_2_VARIETES">Phyto!$J$279</definedName>
    <definedName name="ARBO_NB_3_VARIETES">Phyto!$J$280</definedName>
    <definedName name="ARBO_PLAFOND_IFT_HERBICIDES">Phyto!$J$91</definedName>
    <definedName name="ARBO_PLAFOND_IFT_HORS_HERBICIDES">Phyto!$J$92</definedName>
    <definedName name="ARBO_PLANCHER_IFT_HERBICIDES">Phyto!$L$91</definedName>
    <definedName name="ARBO_PLANCHER_IFT_HORS_HERBICIDES">Phyto!$L$92</definedName>
    <definedName name="ARBO_RESULTAT">Phyto!$M$121</definedName>
    <definedName name="ARBO_RESULTAT_ANC_NOTATION_HERBICIDES">Phyto!$R$111</definedName>
    <definedName name="ARBO_RESULTAT_ANC_NOTATION_HORS_HERBICIDES">Phyto!$R$112</definedName>
    <definedName name="ARBO_RESULTAT_HERBICIDES">Phyto!$R$109</definedName>
    <definedName name="ARBO_RESULTAT_HORS_HERBICIDES">Phyto!$R$110</definedName>
    <definedName name="ARBO_SURF">Phyto!$K$121</definedName>
    <definedName name="AUTRE_DEMARCHE1">Identification!$G$88</definedName>
    <definedName name="AUTRE_DEMARCHE2">Identification!$G$90</definedName>
    <definedName name="AUTRE_DEMARCHE3">Identification!$G$92</definedName>
    <definedName name="AUTRES_CEREALES_N">Surfaces!$O$83</definedName>
    <definedName name="AUTRES_CEREALES_N1">Surfaces!$P$83</definedName>
    <definedName name="AUTRES_CEREALES_N2">Surfaces!$Q$83</definedName>
    <definedName name="AUTRES_CULTURES_INDUSTRIELLES_N">Surfaces!$O$129</definedName>
    <definedName name="AUTRES_CULTURES_INDUSTRIELLES_N1">Surfaces!$P$129</definedName>
    <definedName name="AUTRES_CULTURES_INDUSTRIELLES_N2">Surfaces!$Q$129</definedName>
    <definedName name="AUTRES_CULTURES_PERMANENTES_N">Surfaces!$O$162</definedName>
    <definedName name="AUTRES_CULTURES_PERMANENTES_N1">Surfaces!$P$162</definedName>
    <definedName name="AUTRES_CULTURES_PERMANENTES_N2">Surfaces!$Q$162</definedName>
    <definedName name="AUTRES_ELEMENTS_NATURELS_N">Surfaces!$O$56</definedName>
    <definedName name="AUTRES_ELEMENTS_NATURELS_N1">Surfaces!$P$56</definedName>
    <definedName name="AUTRES_ELEMENTS_NATURELS_N2">Surfaces!$Q$56</definedName>
    <definedName name="AUTRES_FOURRAGES_N">Surfaces!$O$111</definedName>
    <definedName name="AUTRES_FOURRAGES_N1">Surfaces!$P$111</definedName>
    <definedName name="AUTRES_FOURRAGES_N2">Surfaces!$Q$111</definedName>
    <definedName name="AUTRES_HORS_RUINES_CONV_SURF">Biodiversité!$Y$35</definedName>
    <definedName name="AUTRES_HORS_RUINES_REEL_SURF">Biodiversité!$R$35</definedName>
    <definedName name="AUTRES_HORS_RUINES_UNITE">Biodiversité!$T$35</definedName>
    <definedName name="AUTRES_OLEAGINEUX_N">Surfaces!$O$90</definedName>
    <definedName name="AUTRES_OLEAGINEUX_N1">Surfaces!$P$90</definedName>
    <definedName name="AUTRES_OLEAGINEUX_N2">Surfaces!$Q$90</definedName>
    <definedName name="AUTRES_PRAIRIES_N">Surfaces!$O$122</definedName>
    <definedName name="AUTRES_PRAIRIES_N1">Surfaces!$P$122</definedName>
    <definedName name="AUTRES_PRAIRIES_N2">Surfaces!$Q$122</definedName>
    <definedName name="AUTRES_PRATIQUES">Irrigation!$K$43</definedName>
    <definedName name="AUTRES_PROTEAGINEUX_N">Surfaces!$O$95</definedName>
    <definedName name="AUTRES_PROTEAGINEUX_N1">Surfaces!$P$95</definedName>
    <definedName name="AUTRES_PROTEAGINEUX_N2">Surfaces!$Q$95</definedName>
    <definedName name="AUTRES_RUINES_CONV_SURF">Biodiversité!$Y$34</definedName>
    <definedName name="AUTRES_RUINES_REEL_SURF">Biodiversité!$R$34</definedName>
    <definedName name="AUTRES_RUINES_UNITE">Biodiversité!$T$34</definedName>
    <definedName name="AUTRES_SURF_NON_TRAITEES">Phyto!$M$46</definedName>
    <definedName name="AUTRES_SURFACES_NON_FERTILISEES">Fertilisation!$J$208</definedName>
    <definedName name="AUTRES_SURFACIQUES_CONV_SURF">Biodiversité!$Y$33</definedName>
    <definedName name="AUTRES_SURFACIQUES_REEL_SURF">Biodiversité!$R$33</definedName>
    <definedName name="AUTRES_SURFACIQUES_UNITE">Biodiversité!$T$33</definedName>
    <definedName name="BANDES_CONV_SURF">Biodiversité!$Y$30</definedName>
    <definedName name="BANDES_REEL_SURF">Biodiversité!$R$30</definedName>
    <definedName name="BANDES_UNITE">Biodiversité!$T$30</definedName>
    <definedName name="BASSIN_VITICOLE_CORRIGE">Phyto!$I$77</definedName>
    <definedName name="BASSIN_VITICOLE_EXPLOITATION_SIEGE">Phyto!$I$76</definedName>
    <definedName name="BASSIN_VITICOLE_UTILISE">Phyto!$I$78</definedName>
    <definedName name="BENDES_REEL_SURF">Biodiversité!$R$30</definedName>
    <definedName name="BETTERAVES_INDUSTRIELLES_N">Surfaces!$O$128</definedName>
    <definedName name="BETTERAVES_INDUSTRIELLES_N1">Surfaces!$P$128</definedName>
    <definedName name="BETTERAVES_INDUSTRIELLES_N2">Surfaces!$Q$128</definedName>
    <definedName name="BGA_BALANCE_APRES_ENGRAIS_N">Fertilisation!$P$25</definedName>
    <definedName name="BGA_BALANCE_APRES_ENGRAIS_N1">Fertilisation!$S$25</definedName>
    <definedName name="BGA_BALANCE_APRES_ENGRAIS_N2">Fertilisation!$V$25</definedName>
    <definedName name="BGA_BALANCE_AVANT_ENGRAIS_N">Fertilisation!$P$23</definedName>
    <definedName name="BGA_BALANCE_AVANT_ENGRAIS_N1">Fertilisation!$S$23</definedName>
    <definedName name="BGA_BALANCE_AVANT_ENGRAIS_N2">Fertilisation!$V$23</definedName>
    <definedName name="BGA_ENTREE_E1_1_N">Fertilisation!$P$12</definedName>
    <definedName name="BGA_ENTREE_E1_1_N1">Fertilisation!$S$12</definedName>
    <definedName name="BGA_ENTREE_E1_1_N2">Fertilisation!$V$12</definedName>
    <definedName name="BGA_ENTREE_E1_2_N">Fertilisation!$P$13</definedName>
    <definedName name="BGA_ENTREE_E1_2_N1">Fertilisation!$S$13</definedName>
    <definedName name="BGA_ENTREE_E1_2_N2">Fertilisation!$V$13</definedName>
    <definedName name="BGA_ENTREE_E2_N">Fertilisation!$P$14</definedName>
    <definedName name="BGA_ENTREE_E2_N1">Fertilisation!$S$14</definedName>
    <definedName name="BGA_ENTREE_E2_N2">Fertilisation!$V$14</definedName>
    <definedName name="BGA_ENTREE_E3_N">Fertilisation!$P$15</definedName>
    <definedName name="BGA_ENTREE_E3_N1">Fertilisation!$S$15</definedName>
    <definedName name="BGA_ENTREE_E3_N2">Fertilisation!$V$15</definedName>
    <definedName name="BGA_SORTIE_E1_3_N">Fertilisation!$P$18</definedName>
    <definedName name="BGA_SORTIE_E1_3_N1">Fertilisation!$S$18</definedName>
    <definedName name="BGA_SORTIE_E1_3_N2">Fertilisation!$V$18</definedName>
    <definedName name="BGA_SORTIE_S1_1_N">Fertilisation!$P$19</definedName>
    <definedName name="BGA_SORTIE_S1_1_N1">Fertilisation!$S$19</definedName>
    <definedName name="BGA_SORTIE_S1_1_N2">Fertilisation!$V$19</definedName>
    <definedName name="BGA_SORTIE_S1_2_N">Fertilisation!$P$20</definedName>
    <definedName name="BGA_SORTIE_S1_2_N1">Fertilisation!$S$20</definedName>
    <definedName name="BGA_SORTIE_S1_2_N2">Fertilisation!$V$20</definedName>
    <definedName name="BGA_SORTIE_S1_3_N">Fertilisation!$P$21</definedName>
    <definedName name="BGA_SORTIE_S1_3_N1">Fertilisation!$S$21</definedName>
    <definedName name="BGA_SORTIE_S1_3_N2">Fertilisation!$V$21</definedName>
    <definedName name="BIL_AP_BALANCE_APRES_ENGRAIS_N">Fertilisation!$P$46</definedName>
    <definedName name="BIL_AP_BALANCE_APRES_ENGRAIS_N1">Fertilisation!$S$46</definedName>
    <definedName name="BIL_AP_BALANCE_APRES_ENGRAIS_N2">Fertilisation!$V$46</definedName>
    <definedName name="BIL_AP_BALANCE_AVANT_ENGRAIS_N">Fertilisation!$P$44</definedName>
    <definedName name="BIL_AP_BALANCE_AVANT_ENGRAIS_N1">Fertilisation!$S$44</definedName>
    <definedName name="BIL_AP_BALANCE_AVANT_ENGRAIS_N2">Fertilisation!$V$44</definedName>
    <definedName name="BIL_AP_ENTREE_E1_N">Fertilisation!$P$31</definedName>
    <definedName name="BIL_AP_ENTREE_E1_N1">Fertilisation!$S$31</definedName>
    <definedName name="BIL_AP_ENTREE_E1_N2">Fertilisation!$V$31</definedName>
    <definedName name="BIL_AP_ENTREE_E2_1_N">Fertilisation!$P$32</definedName>
    <definedName name="BIL_AP_ENTREE_E2_1_N1">Fertilisation!$S$32</definedName>
    <definedName name="BIL_AP_ENTREE_E2_1_N2">Fertilisation!$V$32</definedName>
    <definedName name="BIL_AP_ENTREE_E2_2_N">Fertilisation!$P$33</definedName>
    <definedName name="BIL_AP_ENTREE_E2_2_N1">Fertilisation!$S$33</definedName>
    <definedName name="BIL_AP_ENTREE_E2_2_N2">Fertilisation!$V$33</definedName>
    <definedName name="BIL_AP_ENTREE_E2_3_N">Fertilisation!$P$34</definedName>
    <definedName name="BIL_AP_ENTREE_E2_3_N1">Fertilisation!$S$34</definedName>
    <definedName name="BIL_AP_ENTREE_E2_3_N2">Fertilisation!$V$34</definedName>
    <definedName name="BIL_AP_ENTREE_E3_N">Fertilisation!$P$35</definedName>
    <definedName name="BIL_AP_ENTREE_E3_N1">Fertilisation!$S$35</definedName>
    <definedName name="BIL_AP_ENTREE_E3_N2">Fertilisation!$V$35</definedName>
    <definedName name="BIL_AP_ENTREE_E4_N">Fertilisation!$P$36</definedName>
    <definedName name="BIL_AP_ENTREE_E4_N1">Fertilisation!$S$36</definedName>
    <definedName name="BIL_AP_ENTREE_E4_N2">Fertilisation!$V$36</definedName>
    <definedName name="BIL_AP_SORTIE_S1_N">Fertilisation!$P$39</definedName>
    <definedName name="BIL_AP_SORTIE_S1_N1">Fertilisation!$S$39</definedName>
    <definedName name="BIL_AP_SORTIE_S1_N2">Fertilisation!$V$39</definedName>
    <definedName name="BIL_AP_SORTIE_S2_N">Fertilisation!$P$40</definedName>
    <definedName name="BIL_AP_SORTIE_S2_N1">Fertilisation!$S$40</definedName>
    <definedName name="BIL_AP_SORTIE_S2_N2">Fertilisation!$V$40</definedName>
    <definedName name="BIL_AP_SORTIE_S3_N">Fertilisation!$P$41</definedName>
    <definedName name="BIL_AP_SORTIE_S3_N1">Fertilisation!$S$41</definedName>
    <definedName name="BIL_AP_SORTIE_S3_N2">Fertilisation!$V$41</definedName>
    <definedName name="BIL_AP_SORTIE_S4_N">Fertilisation!$P$42</definedName>
    <definedName name="BIL_AP_SORTIE_S4_N1">Fertilisation!$S$42</definedName>
    <definedName name="BIL_AP_SORTIE_S4_N2">Fertilisation!$V$42</definedName>
    <definedName name="BLE_DUR_N">Surfaces!$O$78</definedName>
    <definedName name="BLE_DUR_N1">Surfaces!$P$78</definedName>
    <definedName name="BLE_DUR_N2">Surfaces!$Q$78</definedName>
    <definedName name="BLE_TENDRE_N">Surfaces!$O$77</definedName>
    <definedName name="BLE_TENDRE_N1">Surfaces!$P$77</definedName>
    <definedName name="BLE_TENDRE_N2">Surfaces!$Q$77</definedName>
    <definedName name="BORDURES_OBL_CONV_ARA">Biodiversité!$W$24</definedName>
    <definedName name="BORDURES_OBL_REEL_ARA">Biodiversité!$P$24</definedName>
    <definedName name="BORDURES_OBL_UNITE">Biodiversité!$T$24</definedName>
    <definedName name="BORDURES_POIDS_CONV_SURF">Biodiversité!$Y$25</definedName>
    <definedName name="BORDURES_POIDS_REEL_SURF">Biodiversité!$R$25</definedName>
    <definedName name="BORDURES_POIDS_UNITE">Biodiversité!$T$25</definedName>
    <definedName name="BOSQUETS_CONV_ARA">Biodiversité!$W$20</definedName>
    <definedName name="BOSQUETS_CONV_SURF">Biodiversité!$Y$20</definedName>
    <definedName name="BOSQUETS_REEL_ARA">Biodiversité!$P$20</definedName>
    <definedName name="BOSQUETS_REEL_SURF">Biodiversité!$R$20</definedName>
    <definedName name="BOSQUETS_UNITE">Biodiversité!$T$20</definedName>
    <definedName name="CALCUL_POINTS_PRATIQUES">Irrigation!$K$51</definedName>
    <definedName name="CAMPAGNE_EVALUEE">Identification!$F$25</definedName>
    <definedName name="cCampagneN">Paramètres!$BP$5</definedName>
    <definedName name="cCampagneN1">Paramètres!$BP$8</definedName>
    <definedName name="CCampagneN2">Paramètres!$BP$9</definedName>
    <definedName name="cCMR2">Phyto!$P$22</definedName>
    <definedName name="CHANVRE_LIN_N">Surfaces!$O$101</definedName>
    <definedName name="CHANVRE_LIN_N1">Surfaces!$P$101</definedName>
    <definedName name="CHANVRE_LIN_N2">Surfaces!$Q$101</definedName>
    <definedName name="CHEMIN_RAMPE_N">Surfaces!$O$38</definedName>
    <definedName name="CHEMIN_RAMPE_N1">Surfaces!$P$38</definedName>
    <definedName name="CHEMIN_RAMPE_N2">Surfaces!$Q$38</definedName>
    <definedName name="cIrriguante">Irrigation!$K$10</definedName>
    <definedName name="CODE_A_ACTIVITE_PRINCIPALE">Identification!$Y$63</definedName>
    <definedName name="CODE_A_ACTIVITE_SECOND">Identification!$Y$65</definedName>
    <definedName name="CODE_A_AUTRE_ACTIVITE">Identification!$Y$67</definedName>
    <definedName name="CODE_DEMARCHE_NIV2">Identification!$X$83</definedName>
    <definedName name="CODE_POSTAL_EXPLOITATION_SIEGE">Identification!$R$40</definedName>
    <definedName name="CODE_STATUT_JURIDIQUE">Identification!$E$58</definedName>
    <definedName name="CODE_V_ACTIVITE_PRINCIPALE">Identification!$G$63</definedName>
    <definedName name="CODE_V_ACTIVITE_SECOND">Identification!$M$65</definedName>
    <definedName name="CODE_V_AUTRE_ACTIVITE">Identification!$M$67</definedName>
    <definedName name="COLZA_NAVETTE_N">Surfaces!$O$87</definedName>
    <definedName name="COLZA_NAVETTE_N1">Surfaces!$P$87</definedName>
    <definedName name="COLZA_NAVETTE_N2">Surfaces!$Q$87</definedName>
    <definedName name="COMMUNE_EXPLOITATION_SIEGE">Identification!$R$38</definedName>
    <definedName name="COMPLEMENT_ADRESSE_EXPLOITATION_SIEGE">Identification!$R$36</definedName>
    <definedName name="CONCERNE_SURF_CULTUREES_ANNUELLES">Phyto!$R$181</definedName>
    <definedName name="CONCERNE_SURF_CULTUREES_PERENNES">Phyto!$R$186</definedName>
    <definedName name="CORRECTION_NOMBRE_POINTS">Fertilisation!$M$62</definedName>
    <definedName name="COUVERT_VEG_ARBO">Phyto!$J$319</definedName>
    <definedName name="COUVERT_VEG_HORTI">Phyto!$J$320</definedName>
    <definedName name="COUVERT_VEG_VIGNES">Phyto!$J$318</definedName>
    <definedName name="COUVERTURE_HORS_CULTURES_PERENNES">Fertilisation!$O$262</definedName>
    <definedName name="cRegion">Phyto!$I$73</definedName>
    <definedName name="CRITERE_OBLIGATOIRE">Biodiversité!$W$41</definedName>
    <definedName name="cSAU">Surfaces!$O$25</definedName>
    <definedName name="cTypeAudit">Identification!$F$16</definedName>
    <definedName name="CULTURE_IRRIGUEE">Irrigation!$K$40</definedName>
    <definedName name="CULTURES_HORS_SOL_2_VARIETES">Phyto!$J$289</definedName>
    <definedName name="CULTURES_HORS_SOL_3_VARIETES">Phyto!$J$290</definedName>
    <definedName name="CULTURES_MINEURES_POURCENTAGE_SURF_PPF">Fertilisation!$N$185</definedName>
    <definedName name="CULTURES_MINEURES_POURCENTAGE_SURF_PPF_AJ_ODP">Fertilisation!$N$184</definedName>
    <definedName name="CULTURES_MINEURES_RESULTAT_PPF">Fertilisation!$P$185</definedName>
    <definedName name="CULTURES_MINEURES_RESULTAT_PPF_AJ_ODP">Fertilisation!$P$184</definedName>
    <definedName name="CULTURES_MINEURES_SURF_UTILISATION_PPF">Fertilisation!$L$152</definedName>
    <definedName name="CULTURES_MINEURES_SURF_UTILISATION_PPF_AJ">Fertilisation!$L$151</definedName>
    <definedName name="CVI_EXPLOITATION">Identification!$F$40</definedName>
    <definedName name="DATE_AUDIT">Identification!$F$10</definedName>
    <definedName name="DATE_DECISION">SYNTHESE!$D$83</definedName>
    <definedName name="DATE_PERIODE_APPORT">Irrigation!$K$31</definedName>
    <definedName name="DATE_SEMIS">Irrigation!$K$42</definedName>
    <definedName name="DECISION_AUDIT">SYNTHESE!$J$83</definedName>
    <definedName name="DEMARCHE_COLLECTIVE">Irrigation!$J$133</definedName>
    <definedName name="DEMARCHE_NIV2">Identification!$L$83</definedName>
    <definedName name="DEPARTEMENT_EXPLOITATION_SIEGE">Identification!$R$42</definedName>
    <definedName name="DEROGATION_CMR1">Phyto!$D$14</definedName>
    <definedName name="DESCRIPTION_MATERIEL_UTILISE">Irrigation!$C$112</definedName>
    <definedName name="DESCRIPTION_PRATIQUES_AGRO">Irrigation!$C$157</definedName>
    <definedName name="DESHYDRATATION_N">Surfaces!$O$109</definedName>
    <definedName name="DESHYDRATATION_N1">Surfaces!$P$109</definedName>
    <definedName name="DESHYDRATATION_N2">Surfaces!$Q$109</definedName>
    <definedName name="DIVERSITE_VIGNE">Phyto!$J$275</definedName>
    <definedName name="DUREE_AUDIT">Identification!$F$27</definedName>
    <definedName name="ELEMENTS_ARTIFICIELS_N">Surfaces!$O$54</definedName>
    <definedName name="ELEMENTS_ARTIFICIELS_N1">Surfaces!$P$54</definedName>
    <definedName name="ELEMENTS_ARTIFICIELS_N2">Surfaces!$Q$54</definedName>
    <definedName name="EMAIL_EXPLOITATION">Identification!$F$47</definedName>
    <definedName name="ENREGISTREMENT_PRATIQUES_IRRIGATION">Irrigation!$K$24</definedName>
    <definedName name="EQUIV_NB_ESPECES_SEMEES_PURES">Biodiversité!$L$133</definedName>
    <definedName name="EQUIV_PART_PP">Biodiversité!$L$141</definedName>
    <definedName name="EQUIV_SURF_SEMEES_COMPLEXE">Biodiversité!$L$136</definedName>
    <definedName name="EQUIV_SURF_SEMEES_GRAMINEES">Biodiversité!$L$135</definedName>
    <definedName name="EQUIV_SURF_SEMEES_LEGUMINEUSE">Biodiversité!$L$134</definedName>
    <definedName name="ESPACE_DEUX_SERRES_N">Surfaces!$O$42</definedName>
    <definedName name="ESPACE_DEUX_SERRES_N1">Surfaces!$P$42</definedName>
    <definedName name="ESPACE_DEUX_SERRES_N2">Surfaces!$Q$42</definedName>
    <definedName name="ESTIMATION_VOLUME_APPORT">Irrigation!$K$32</definedName>
    <definedName name="EXPLOIT_IRRIGANTE">Irrigation!$K$10</definedName>
    <definedName name="FACTEUR_DECLENCHANT_IRRIGATION">Irrigation!$K$37</definedName>
    <definedName name="FOSSE_CONV_ARA">Biodiversité!$W$22</definedName>
    <definedName name="FOSSE_CONV_SURF">Biodiversité!$Y$22</definedName>
    <definedName name="FOSSE_REEL_ARA">Biodiversité!$P$22</definedName>
    <definedName name="FOSSE_REEL_SURF">Biodiversité!$R$22</definedName>
    <definedName name="FOSSE_UNITE">Biodiversité!$T$22</definedName>
    <definedName name="FUMIER_N">Surfaces!$O$29</definedName>
    <definedName name="FUMIER_N1">Surfaces!$P$29</definedName>
    <definedName name="FUMIER_N2">Surfaces!$Q$29</definedName>
    <definedName name="GC_ANC_PLAFOND_IFT_HERBICIDES">Phyto!$N$83</definedName>
    <definedName name="GC_ANC_PLAFOND_IFT_HORS_HERBICIDES">Phyto!$N$84</definedName>
    <definedName name="GC_ANC_PLANCHER_IFT_HERBICIDES">Phyto!$P$83</definedName>
    <definedName name="GC_ANC_PLANCHER_IFT_HORS_HERBICIDES">Phyto!$P$84</definedName>
    <definedName name="GC_ANCIENNE_NOTATION">Phyto!$H$115</definedName>
    <definedName name="GC_CONDITION_ANCIENNE_NOTATION">Phyto!$J$109</definedName>
    <definedName name="GC_IFT_REALISE_HERBICIDES">Phyto!$J$105</definedName>
    <definedName name="GC_IFT_REALISE_HORS_HERBICIDES">Phyto!$J$106</definedName>
    <definedName name="GC_IFT_REALISE_N_HERBICIDES">Phyto!$J$99</definedName>
    <definedName name="GC_IFT_REALISE_N_HORS_HERBICIDES">Phyto!$J$100</definedName>
    <definedName name="GC_IFT_REALISE_N1_HERBICIDES">Phyto!$J$101</definedName>
    <definedName name="GC_IFT_REALISE_N1_HORS_HERBICIDES">Phyto!$J$102</definedName>
    <definedName name="GC_IFT_REALISE_N2_HERBICIDES">Phyto!$J$103</definedName>
    <definedName name="GC_IFT_REALISE_N2_HORS_HERBICIDES">Phyto!$J$104</definedName>
    <definedName name="GC_MAX_POINTS">Phyto!$O$119</definedName>
    <definedName name="GC_PLAFOND_IFT_HERBICIDES">Phyto!$J$83</definedName>
    <definedName name="GC_PLAFOND_IFT_HORS_HERBICIDES">Phyto!$J$84</definedName>
    <definedName name="GC_PLANCHER_IFT_HERBICIDES">Phyto!$L$83</definedName>
    <definedName name="GC_PLANCHER_IFT_HORS_HERBICIDES">Phyto!$L$84</definedName>
    <definedName name="GC_POURCENTAGE_SURF_CONCERNEE_ODP">Fertilisation!$N$170</definedName>
    <definedName name="GC_POURCENTAGE_SURF_CONCERNEE_OPI">Fertilisation!$N$171</definedName>
    <definedName name="GC_POURCENTAGE_SURF_CONCERNEE_PPF_AJ">Fertilisation!$N$169</definedName>
    <definedName name="GC_RESULTAT">Phyto!$M$119</definedName>
    <definedName name="GC_RESULTAT_ANC_NOTATION_HERBICIDES">Phyto!$H$111</definedName>
    <definedName name="GC_RESULTAT_ANC_NOTATION_HORS_HERBICIDES">Phyto!$H$112</definedName>
    <definedName name="GC_RESULTAT_HERBICIDES">Phyto!$H$109</definedName>
    <definedName name="GC_RESULTAT_HORS_HERBICIDES">Phyto!$H$110</definedName>
    <definedName name="GC_RESULTAT_ODP">Fertilisation!$P$170</definedName>
    <definedName name="GC_RESULTAT_OPI">Fertilisation!$P$171</definedName>
    <definedName name="GC_RESULTAT_PPF_AJ">Fertilisation!$P$169</definedName>
    <definedName name="GC_RESULTAT_UTILISATION_OUTIL_PPF">Fertilisation!$P$168</definedName>
    <definedName name="GC_SURF">Phyto!$K$119</definedName>
    <definedName name="GC_SURF_UTILISATION_ODP">Fertilisation!$L$142</definedName>
    <definedName name="GC_SURF_UTILISATION_OPI">Fertilisation!$L$143</definedName>
    <definedName name="GC_SURF_UTILISATION_PPF">Fertilisation!$L$140</definedName>
    <definedName name="GC_SURF_UTILISATION_PPF_AJ">Fertilisation!$L$141</definedName>
    <definedName name="GC_UTILISATION_OUTIL_PPF">Fertilisation!$N$168</definedName>
    <definedName name="GESCO_NATURE_AUDIT">Identification!$R$12</definedName>
    <definedName name="GESCO_NOM_SC">Identification!$R$18</definedName>
    <definedName name="GESCO_SIRET_SC">Identification!$R$16</definedName>
    <definedName name="HAIE_CONV_ARA">Biodiversité!$W$17</definedName>
    <definedName name="HAIE_CONV_SURF">Biodiversité!$Y$17</definedName>
    <definedName name="HAIE_REEL_ARA">Biodiversité!$P$17</definedName>
    <definedName name="HAIE_REEL_SURF">Biodiversité!$R$17</definedName>
    <definedName name="HAIE_UNITE">Biodiversité!$T$17</definedName>
    <definedName name="HORS_ZONE_VULNERABLE_COUVERTE">Fertilisation!$O$277</definedName>
    <definedName name="HORS_ZONE_VULNERABLE_NB_SEMAINES_COUVERT">Fertilisation!$O$278</definedName>
    <definedName name="HORS_ZONE_VULNERABLE_POURCENT_SAU_HORS_VITI_ARBO_HORTI">Fertilisation!$O$296</definedName>
    <definedName name="HORS_ZONE_VULNERABLE_POURCENT_SURF_HORS_VITI_ARBO_HORTI">Fertilisation!$O$290</definedName>
    <definedName name="HORS_ZONE_VULNERABLE_RESPECT_DUREE_REGLEMENTAIRE">Fertilisation!$O$269</definedName>
    <definedName name="HORS_ZONE_VULNERABLE_SURF_TOTALE_CONCERNEE">Fertilisation!$O$276</definedName>
    <definedName name="IAE_EXHAUSTIF">Biodiversité!$T$60</definedName>
    <definedName name="ISOLE_CONV_ARA">Biodiversité!$W$19</definedName>
    <definedName name="ISOLE_CONV_SURF">Biodiversité!$Y$19</definedName>
    <definedName name="ISOLE_REEL_ARA">Biodiversité!$P$19</definedName>
    <definedName name="ISOLE_REEL_SURF">Biodiversité!$R$19</definedName>
    <definedName name="ISOLE_UNITE">Biodiversité!$T$19</definedName>
    <definedName name="JACHERE_5ANS_MOINS_N">Surfaces!$O$103</definedName>
    <definedName name="JACHERE_5ANS_MOINS_N1">Surfaces!$P$103</definedName>
    <definedName name="JACHERE_5ANS_MOINS_N2">Surfaces!$Q$103</definedName>
    <definedName name="JACHERE_6ANS_PLUS_N">Surfaces!$O$104</definedName>
    <definedName name="JACHERE_6ANS_PLUS_N1">Surfaces!$P$104</definedName>
    <definedName name="JACHERE_6ANS_PLUS_N2">Surfaces!$Q$104</definedName>
    <definedName name="JACHERE_CONV_ARA">Biodiversité!$W$26</definedName>
    <definedName name="JACHERE_CONV_SURF">Biodiversité!$Y$26</definedName>
    <definedName name="JACHERE_MELLI_CONV_ARA">Biodiversité!$W$27</definedName>
    <definedName name="JACHERE_MELLI_CONV_SURF">Biodiversité!$Y$27</definedName>
    <definedName name="JACHERE_MELLI_REEL_ARA">Biodiversité!$P$27</definedName>
    <definedName name="JACHERE_MELLI_REEL_SURF">Biodiversité!$R$27</definedName>
    <definedName name="JACHERE_MELLI_UNITE">Biodiversité!$T$27</definedName>
    <definedName name="JACHERE_NOIRE_N">Surfaces!$O$105</definedName>
    <definedName name="JACHERE_NOIRE_N1">Surfaces!$P$105</definedName>
    <definedName name="JACHERE_NOIRE_N2">Surfaces!$Q$105</definedName>
    <definedName name="JACHERE_REEL_ARA">Biodiversité!$P$26</definedName>
    <definedName name="JACHERE_REEL_SURF">Biodiversité!$R$26</definedName>
    <definedName name="JACHERE_UNITE">Biodiversité!$T$26</definedName>
    <definedName name="LEG_FRUITS_2_VARIETES">Phyto!$J$284</definedName>
    <definedName name="LEG_FRUITS_3_VARIETES">Phyto!$J$285</definedName>
    <definedName name="LEG_FRUITS_NB_ESPECES">Phyto!$J$283</definedName>
    <definedName name="LEGUMES_FLEURS_PLEIN_AIR_N">Surfaces!$O$134</definedName>
    <definedName name="LEGUMES_FLEURS_PLEIN_AIR_N1">Surfaces!$P$134</definedName>
    <definedName name="LEGUMES_FLEURS_PLEIN_AIR_N2">Surfaces!$Q$134</definedName>
    <definedName name="LEGUMES_FLEURS_SERRE_N">Surfaces!$O$136</definedName>
    <definedName name="LEGUMES_FLEURS_SERRE_N1">Surfaces!$P$136</definedName>
    <definedName name="LEGUMES_FLEURS_SERRE_N2">Surfaces!$Q$136</definedName>
    <definedName name="LEGUMES_FLEURS_TUNNEL_N">Surfaces!$O$135</definedName>
    <definedName name="LEGUMES_FLEURS_TUNNEL_N1">Surfaces!$P$135</definedName>
    <definedName name="LEGUMES_FLEURS_TUNNEL_N2">Surfaces!$Q$135</definedName>
    <definedName name="LEGUMES_SEC_N">Surfaces!$O$96</definedName>
    <definedName name="LEGUMES_SEC_N1">Surfaces!$P$96</definedName>
    <definedName name="LEGUMES_SEC_N2">Surfaces!$Q$96</definedName>
    <definedName name="LISTE_MATERIEL_UTILISE">Phyto!$C$257</definedName>
    <definedName name="LISTE_MATERIELS_METHODES">Phyto!$C$224</definedName>
    <definedName name="LOCALISATION_AUDIT_INTERNE">Identification!$R$14</definedName>
    <definedName name="lstActivitesAnimales">OFFSET(Listes!$J$3,1,0,COUNTA(Listes!$J:$J)-1,1)</definedName>
    <definedName name="lstActivitesVegetales">OFFSET(Listes!$G$3,1,0,COUNTA(Listes!$G:$G)-1,1)</definedName>
    <definedName name="LstAOCBeaujolais">Listes!$AT$8:$AT$9</definedName>
    <definedName name="LstAutresDemarches">OFFSET(Listes!$AE$3,1,0,COUNTA(Listes!$AE:$AE)-1,1)</definedName>
    <definedName name="lstBassinViticole">OFFSET(Listes!#REF!,1,0,COUNTA(Listes!#REF!)-1,1)</definedName>
    <definedName name="lstCalculBilan">OFFSET(Listes!$X$3,1,0,COUNTA(Listes!$X:$X)-1,1)</definedName>
    <definedName name="lstCultureFruits">OFFSET(Listes!$U$3,1,0,COUNTA(Listes!$U:$U)-1,1)</definedName>
    <definedName name="lstDecisionInitial">Listes!$AI$4:$AI$5</definedName>
    <definedName name="lstDecisionRenouvellement">Listes!$AM$4:$AM$5</definedName>
    <definedName name="lstDecisionSuivi">Listes!$AK$4:$AK$6</definedName>
    <definedName name="lstDepartements">OFFSET(Paramètres!$BC$4,1,0,COUNTA(Paramètres!$BC:$BC)-1,1)</definedName>
    <definedName name="lstLocalisationAuditInterne">Listes!$AV$4:$AV$5</definedName>
    <definedName name="lstNatureAudit">Listes!$AR$4:$AR$5</definedName>
    <definedName name="LstNordSud">Listes!$AT$4:$AT$5</definedName>
    <definedName name="LstNumDepartements">OFFSET(Listes!#REF!,1,0,COUNTA(Listes!#REF!)-1,1)</definedName>
    <definedName name="lstRegions">OFFSET(Listes!$E$3,1,0,COUNTA(Listes!$E:$E)-1,1)</definedName>
    <definedName name="lstStatutJuridique">OFFSET(Listes!$B$3,1,0,COUNTA(Listes!$B:$B)-1,1)</definedName>
    <definedName name="lstTypeAuditCollectif">Listes!$M$4:$M$7</definedName>
    <definedName name="lstTypeAuditIndividuel">Listes!$M$11:$M$13</definedName>
    <definedName name="lstVersion">OFFSET(Listes!$AG$3,1,0,COUNTA(Listes!$AG:$AG)-1,1)</definedName>
    <definedName name="lstVide">Listes!$AI$9</definedName>
    <definedName name="MAIS_FOURRAGE_ENSILAGE_N">Surfaces!$O$110</definedName>
    <definedName name="MAIS_FOURRAGE_ENSILAGE_N1">Surfaces!$P$110</definedName>
    <definedName name="MAIS_FOURRAGE_ENSILAGE_N2">Surfaces!$Q$110</definedName>
    <definedName name="MAIS_N">Surfaces!$O$79</definedName>
    <definedName name="MAIS_N1">Surfaces!$P$79</definedName>
    <definedName name="MAIS_N2">Surfaces!$Q$79</definedName>
    <definedName name="MARAIS_SALANTS_N">Surfaces!$O$58</definedName>
    <definedName name="MARAIS_SALANTS_N1">Surfaces!$P$58</definedName>
    <definedName name="MARAIS_SALANTS_N2">Surfaces!$Q$58</definedName>
    <definedName name="MARE_CONV_ARA">Biodiversité!$W$21</definedName>
    <definedName name="MARE_CONV_SURF">Biodiversité!$Y$21</definedName>
    <definedName name="MARE_REEL_ARA">Biodiversité!$P$21</definedName>
    <definedName name="MARE_REEL_SURF">Biodiversité!$R$21</definedName>
    <definedName name="MARE_UNITE">Biodiversité!$T$21</definedName>
    <definedName name="MATERIEL_UTILISE">Irrigation!$K$35</definedName>
    <definedName name="MAX_NOTE_GLOBALE_IRRIGATION">Irrigation!$W$259</definedName>
    <definedName name="MAX_POINTS_APPORTS_FERTILISANTS">Fertilisation!$W$325</definedName>
    <definedName name="MAX_POINTS_AZOTE_ORGA">Fertilisation!$W$122</definedName>
    <definedName name="MAX_POINTS_BILAN_AZOTE">Fertilisation!$W$64</definedName>
    <definedName name="MAX_POINTS_BIODIVERSITE">Biodiversité!$W$263</definedName>
    <definedName name="MAX_POINTS_CMR">Phyto!$W$25</definedName>
    <definedName name="MAX_POINTS_COUVERT_VEGETAL">Phyto!$W$332</definedName>
    <definedName name="MAX_POINTS_COUVERTURE_SOLS">Fertilisation!$W$300</definedName>
    <definedName name="MAX_POINTS_DEMARCHE_COLL">Irrigation!$W$139</definedName>
    <definedName name="MAX_POINTS_DIVERSITE">Phyto!$W$299</definedName>
    <definedName name="MAX_POINTS_FERTILISATION">Fertilisation!$W$370</definedName>
    <definedName name="MAX_POINTS_IAE">Biodiversité!$Y$58</definedName>
    <definedName name="MAX_POINTS_LEGUMINEUSES">Fertilisation!$W$243</definedName>
    <definedName name="MAX_POINTS_MATERIEL_UTILISE">Phyto!$W$266</definedName>
    <definedName name="MAX_POINTS_MENACEES">Biodiversité!$W$231</definedName>
    <definedName name="MAX_POINTS_METHODES_ALTERNATIVES">Phyto!$W$242</definedName>
    <definedName name="MAX_POINTS_NB_ESPECES_ANIMALES_ELEVEES">Biodiversité!$W$180</definedName>
    <definedName name="MAX_POINTS_NB_ESPECES_VEG_CULTIVEES">Biodiversité!$W$154</definedName>
    <definedName name="MAX_POINTS_OAD">Fertilisation!$W$191</definedName>
    <definedName name="MAX_POINTS_PHYTO">Phyto!$W$383</definedName>
    <definedName name="MAX_POINTS_POIDS_CULTURE_PRINCIPALE">Biodiversité!$W$112</definedName>
    <definedName name="MAX_POINTS_PRATIQUES">Irrigation!$W$51</definedName>
    <definedName name="MAX_POINTS_PRATIQUES_AGRO">Irrigation!$W$167</definedName>
    <definedName name="MAX_POINTS_PRESENCE_RUCHES">Biodiversité!$W$199</definedName>
    <definedName name="MAX_POINTS_QUALITE_BIO_SOL">Biodiversité!$W$247</definedName>
    <definedName name="MAX_POINTS_QUANTITE_AZOTE">Fertilisation!$W$100</definedName>
    <definedName name="MAX_POINTS_RECUP_EAU_PLUIE">Irrigation!$W$242</definedName>
    <definedName name="MAX_POINTS_RECYCLAGE">Phyto!$W$366</definedName>
    <definedName name="MAX_POINTS_RECYCLAGE_TRAITEMENT">Irrigation!$W$219</definedName>
    <definedName name="MAX_POINTS_RECYCLAGE_TRAITEMENT_EAUX_IRRIG">Fertilisation!$W$353</definedName>
    <definedName name="MAX_POINTS_SAU_NON_FERTILISEE">Fertilisation!$W$215</definedName>
    <definedName name="MAX_POINTS_SUBST_ACT">Phyto!$W$160</definedName>
    <definedName name="MAX_POINTS_SURF_NON_TRAITEE">Phyto!$W$55</definedName>
    <definedName name="MAX_POINTS_SURVEILLANCE">Phyto!$W$200</definedName>
    <definedName name="MAX_POINTS_TAILLES_PARCELLES">Biodiversité!$W$85</definedName>
    <definedName name="MAX_POINTS_UTILISATION_MATERIEL">Irrigation!$W$124</definedName>
    <definedName name="MAX_POINTS_UTILISATION_OUTILS">Irrigation!$W$92</definedName>
    <definedName name="MAX_PRELEVE_ETIAGE">Irrigation!$W$190</definedName>
    <definedName name="MELANGES_CULTURE_N">Surfaces!$O$97</definedName>
    <definedName name="MELANGES_CULTURE_N1">Surfaces!$P$97</definedName>
    <definedName name="MELANGES_CULTURE_N2">Surfaces!$Q$97</definedName>
    <definedName name="METHODE_CALCUL_RETENUE">Fertilisation!$M$52</definedName>
    <definedName name="MODE_IRRIGATION">Irrigation!$K$34</definedName>
    <definedName name="MUR_CONV_ARA">Biodiversité!$W$23</definedName>
    <definedName name="MUR_CONV_SURF">Biodiversité!$Y$23</definedName>
    <definedName name="MUR_REEL_ARA">Biodiversité!$P$23</definedName>
    <definedName name="MUR_REEL_SURF">Biodiversité!$R$23</definedName>
    <definedName name="MUR_UNITE">Biodiversité!$T$23</definedName>
    <definedName name="NB_APPORTS_EAU">Irrigation!$K$27</definedName>
    <definedName name="NB_ARBO">Biodiversité!$I$147</definedName>
    <definedName name="NB_AUTRES_CULT_ARABLES">Biodiversité!$I$130</definedName>
    <definedName name="NB_CAMPAGNE_BILAN_AZOTE">Fertilisation!$M$54</definedName>
    <definedName name="NB_CAMPAGNE_IFT">Phyto!$V$74</definedName>
    <definedName name="NB_CAMPAGNE_QUANTITE_AZOTE">Fertilisation!$Q$93</definedName>
    <definedName name="NB_CAMPAGNES_CONCERNEES">Phyto!$Q$153</definedName>
    <definedName name="NB_CULTURES_FOURRAGERES">Biodiversité!$I$129</definedName>
    <definedName name="NB_CULTURES_HORS_SOL">Biodiversité!$I$148</definedName>
    <definedName name="NB_DONNEES_A_ENREGISTRER">Irrigation!$K$28</definedName>
    <definedName name="NB_DONNEES_MANQUANTES">Irrigation!$K$46</definedName>
    <definedName name="NB_ESPECES_AUTRES">Biodiversité!$I$176</definedName>
    <definedName name="NB_ESPECES_BOVINES">Biodiversité!$I$171</definedName>
    <definedName name="NB_ESPECES_CAPRINES">Biodiversité!$I$174</definedName>
    <definedName name="NB_ESPECES_OVINES">Biodiversité!$I$173</definedName>
    <definedName name="NB_ESPECES_PORCINES">Biodiversité!$I$172</definedName>
    <definedName name="NB_ESPECES_SEMEES">Biodiversité!$I$133</definedName>
    <definedName name="NB_ESPECES_VOLAILLES">Biodiversité!$I$175</definedName>
    <definedName name="NB_FLEURS">Biodiversité!$I$146</definedName>
    <definedName name="NB_LEG_FRUITS_HORS_ARBO">Biodiversité!$I$145</definedName>
    <definedName name="NB_MATERIEL_UTILISE">Phyto!$J$253</definedName>
    <definedName name="NB_OUTILS_EVAL_DEMANDE">Irrigation!$M$77</definedName>
    <definedName name="NB_OUTILS_EVAL_OFFRE">Irrigation!$M$76</definedName>
    <definedName name="NB_OUTILS_MIXTE">Irrigation!$M$78</definedName>
    <definedName name="NB_PARCELLES_IRRIGUEES">Irrigation!$K$26</definedName>
    <definedName name="NB_RACES_ANIMALES_MENACEES">Biodiversité!$I$216</definedName>
    <definedName name="NB_RUCHES">Biodiversité!$I$196</definedName>
    <definedName name="NB_TYPE_IAE">Biodiversité!$T$56</definedName>
    <definedName name="NB_VAR_VEG_MENACEES">Biodiversité!$I$215</definedName>
    <definedName name="NB_VIGNES">Biodiversité!$I$144</definedName>
    <definedName name="NOM_AUDITEUR">Identification!$F$21</definedName>
    <definedName name="NOM_CULTURE_PRINCIPALE">Biodiversité!$N$104</definedName>
    <definedName name="NOM_DEMARCHE_COLLECTIVE">Irrigation!$J$134</definedName>
    <definedName name="NOM_EXPLOITANT">Identification!$F$34</definedName>
    <definedName name="NOMS_MENACEES">Biodiversité!$C$220</definedName>
    <definedName name="NOTE_GLOBALE_BIODIVERSITE">Biodiversité!$S$263</definedName>
    <definedName name="NOTE_GLOBALE_FERTILISATION">Fertilisation!$R$370</definedName>
    <definedName name="NOTE_GLOBALE_IRRIGATION">Irrigation!$R$259</definedName>
    <definedName name="NOTE_GLOBALE_PHYTO">Phyto!$R$383</definedName>
    <definedName name="NUMERO_EXPLOITATION_SIEGE">Identification!$F$45</definedName>
    <definedName name="OBL_HERBE">Biodiversité!$T$44</definedName>
    <definedName name="OBL_PART_IAE_CONCERNE">Biodiversité!$W$48</definedName>
    <definedName name="OBL_PRAIRIES">Biodiversité!$T$43</definedName>
    <definedName name="OBL_SOCLE_ITEM">Biodiversité!$T$48</definedName>
    <definedName name="OBL_SURF_IAE">Biodiversité!$T$46</definedName>
    <definedName name="OBL_TERRES_ARA">Biodiversité!$T$47</definedName>
    <definedName name="ORGA_AUDITEUR">Identification!$E$18</definedName>
    <definedName name="ORGE_N">Surfaces!$O$80</definedName>
    <definedName name="ORGE_N1">Surfaces!$P$80</definedName>
    <definedName name="ORGE_N2">Surfaces!$Q$80</definedName>
    <definedName name="ORIGINE_EAU">Irrigation!$K$36</definedName>
    <definedName name="OTEX">Identification!$F$71</definedName>
    <definedName name="OTEX_CONCERNE">Fertilisation!$M$51</definedName>
    <definedName name="OUTIL_DIAGNOSTIC">Phyto!$R$175</definedName>
    <definedName name="PANNEAUX_PHOTO_N">Surfaces!$O$46</definedName>
    <definedName name="PANNEAUX_PHOTO_N1">Surfaces!$P$46</definedName>
    <definedName name="PANNEAUX_PHOTO_N2">Surfaces!$Q$46</definedName>
    <definedName name="PARCOURS_ENHERBES_VOLAILLES_N">Surfaces!$O$43</definedName>
    <definedName name="PARCOURS_ENHERBES_VOLAILLES_N1">Surfaces!$P$43</definedName>
    <definedName name="PARCOURS_ENHERBES_VOLAILLES_N2">Surfaces!$Q$43</definedName>
    <definedName name="PART_ARBO_COUVERTE">Phyto!$J$329</definedName>
    <definedName name="PART_HORTI_HORS_PEPI_COUVERTE">Phyto!$J$330</definedName>
    <definedName name="PART_PRELEVE_ETIAGE">Irrigation!$K$190</definedName>
    <definedName name="PART_SAU_HORS_HORTICULTURE">Irrigation!$M$90</definedName>
    <definedName name="PART_SAU_HORTICULTURE">Irrigation!$M$91</definedName>
    <definedName name="PART_SURF_CULTURES_HORS_SOL">Irrigation!$N$241</definedName>
    <definedName name="PART_SURF_HORTICULTURE">Irrigation!$M$85</definedName>
    <definedName name="PART_SURF_HS_SYSTEME_PARTIEL">Fertilisation!$L$351</definedName>
    <definedName name="PART_SURF_HS_SYSTEME_TOTAL">Fertilisation!$L$350</definedName>
    <definedName name="PART_SURF_IRRIGUEE_EQUIPEE">Irrigation!$J$124</definedName>
    <definedName name="PART_SURF_IRRIGUEE_PRATIQUES_AGRO">Irrigation!$L$167</definedName>
    <definedName name="PART_SURF_PRAIRIES_PERM">Biodiversité!$N$109</definedName>
    <definedName name="PART_VIGNES_COUVERTE">Phyto!$J$328</definedName>
    <definedName name="PARTICIPATION_CAMPAGNE_PROSPECTION">Phyto!$R$177</definedName>
    <definedName name="PASSAGE_ENROULEUR_N">Surfaces!$O$39</definedName>
    <definedName name="PASSAGE_ENROULEUR_N1">Surfaces!$P$39</definedName>
    <definedName name="PASSAGE_ENROULEUR_N2">Surfaces!$Q$39</definedName>
    <definedName name="PDT_IFT_REALISE_N_HERBICIDES">Phyto!$L$99</definedName>
    <definedName name="PDT_IFT_REALISE_N_HORS_HERBICIDES">Phyto!$L$100</definedName>
    <definedName name="PDT_IFT_REALISE_N1_HERBICIDES">Phyto!$L$101</definedName>
    <definedName name="PDT_IFT_REALISE_N1_HORS_HERBICIDES">Phyto!$L$102</definedName>
    <definedName name="PDT_IFT_REALISE_N2_HERBICIDES">Phyto!$L$103</definedName>
    <definedName name="PDT_IFT_REALISE_N2_HORS_HERBICIDES">Phyto!$L$104</definedName>
    <definedName name="PEUPLERAIE_N">Surfaces!$O$31</definedName>
    <definedName name="PEUPLERAIE_N1">Surfaces!$P$31</definedName>
    <definedName name="PEUPLERAIE_N2">Surfaces!$Q$31</definedName>
    <definedName name="PLAFOND_QUANTITE_AZOTE_APPORTEE_N">Fertilisation!$S$87</definedName>
    <definedName name="PLAFOND_QUANTITE_AZOTE_APPORTEE_N1">Fertilisation!$S$88</definedName>
    <definedName name="PLAFOND_QUANTITE_AZOTE_APPORTEE_N2">Fertilisation!$S$89</definedName>
    <definedName name="PLAFOND_RETENU_QUANTITE_AZOTE">Fertilisation!$Q$95</definedName>
    <definedName name="PLAFOND_SUBST_ACT_N">Phyto!$S$147</definedName>
    <definedName name="PLAFOND_SUBST_ACT_N1">Phyto!$S$148</definedName>
    <definedName name="PLAFOND_SUBST_ACT_N2">Phyto!$S$149</definedName>
    <definedName name="PLANCHER_QUANTITE_AZOTE_APPORTEE_N">Fertilisation!$U$87</definedName>
    <definedName name="PLANCHER_QUANTITE_AZOTE_APPORTEE_N1">Fertilisation!$U$88</definedName>
    <definedName name="PLANCHER_QUANTITE_AZOTE_APPORTEE_N2">Fertilisation!$U$89</definedName>
    <definedName name="PLANCHER_RETENU_QUANTITE_AZOTE">Fertilisation!$Q$96</definedName>
    <definedName name="PLANCHER_SUBST_ACT_N">Phyto!$U$147</definedName>
    <definedName name="PLANCHER_SUBST_ACT_N1">Phyto!$U$148</definedName>
    <definedName name="PLANCHER_SUBST_ACT_N2">Phyto!$U$149</definedName>
    <definedName name="POIDS_IAE_TOT_EXPL">Biodiversité!$T$51</definedName>
    <definedName name="POIDS_PART_IAE">Biodiversité!$T$53</definedName>
    <definedName name="POIDS_SURF_TOT">Biodiversité!$T$52</definedName>
    <definedName name="POINTS_HORS_HORTICULTURE">Irrigation!$O$80</definedName>
    <definedName name="POINTS_HORTICULTURE">Irrigation!$O$87</definedName>
    <definedName name="POINTS_RECUP_EAU_PLUIE">Irrigation!$P$242</definedName>
    <definedName name="POINTS_RECYCLAGE_TRAITEMENT">Irrigation!$N$219</definedName>
    <definedName name="POINTS_UTILISATION_OUTILS">Irrigation!$O$92</definedName>
    <definedName name="POIS_PROTEAGINEUX_N">Surfaces!$O$94</definedName>
    <definedName name="POIS_PROTEAGINEUX_N1">Surfaces!$P$94</definedName>
    <definedName name="POIS_PROTEAGINEUX_N2">Surfaces!$Q$94</definedName>
    <definedName name="POMMES_DE_TERRES_N">Surfaces!$O$133</definedName>
    <definedName name="POMMES_DE_TERRES_N1">Surfaces!$P$133</definedName>
    <definedName name="POMMES_DE_TERRES_N2">Surfaces!$Q$133</definedName>
    <definedName name="POURCENTAGE_AZOTE_APPORTE">Fertilisation!$N$122</definedName>
    <definedName name="POURCENTAGE_CULTURES_MINEURES">Fertilisation!$M$60</definedName>
    <definedName name="POURCENTAGE_SAU_ARBO">Fertilisation!$O$298</definedName>
    <definedName name="POURCENTAGE_SAU_HORTI">Fertilisation!$O$299</definedName>
    <definedName name="POURCENTAGE_SAU_NON_TRAITEE">Phyto!$M$55</definedName>
    <definedName name="POURCENTAGE_SAU_VIGNES">Fertilisation!$O$297</definedName>
    <definedName name="POURCENTAGE_SURF_ARBO">Phyto!$J$295</definedName>
    <definedName name="POURCENTAGE_SURF_CULTURES_HORS_SOL">Phyto!$J$297</definedName>
    <definedName name="POURCENTAGE_SURF_HORTI_EQUIPEE">Fertilisation!$O$323</definedName>
    <definedName name="POURCENTAGE_SURF_LEG_FRUITS">Phyto!$J$296</definedName>
    <definedName name="POURCENTAGE_SURF_LEGUMINEUSES">Fertilisation!$N$243</definedName>
    <definedName name="POURCENTAGE_SURF_VIGNES">Phyto!$J$294</definedName>
    <definedName name="POURCENTAGE_SURFACES_NON_FERTILISEES">Fertilisation!$J$215</definedName>
    <definedName name="PP_FERTILISEES_N">Surfaces!$O$121</definedName>
    <definedName name="PP_FERTILISEES_N1">Surfaces!$P$121</definedName>
    <definedName name="PP_FERTILISEES_N2">Surfaces!$Q$121</definedName>
    <definedName name="PP_NON_FERTILISEES_N">Surfaces!$O$120</definedName>
    <definedName name="PP_NON_FERTILISEES_N1">Surfaces!$P$120</definedName>
    <definedName name="PP_NON_FERTILISEES_N2">Surfaces!$Q$120</definedName>
    <definedName name="PRAIRIES_CONV_SURF">Biodiversité!$Y$31</definedName>
    <definedName name="PRAIRIES_REEL_SURF">Biodiversité!$R$31</definedName>
    <definedName name="PRAIRIES_UNITE">Biodiversité!$T$31</definedName>
    <definedName name="PRISE_EN_COMPTE_CULTURE_MOYENNE">Fertilisation!$M$57</definedName>
    <definedName name="PROD_COUV_ARBRES_ARBUSTES_EN_POT_N_M01">Surfaces_Horti!$B$14</definedName>
    <definedName name="PROD_COUV_ARBRES_ARBUSTES_EN_POT_N_M02">Surfaces_Horti!$C$14</definedName>
    <definedName name="PROD_COUV_ARBRES_ARBUSTES_EN_POT_N_M03">Surfaces_Horti!$D$14</definedName>
    <definedName name="PROD_COUV_ARBRES_ARBUSTES_EN_POT_N_M04">Surfaces_Horti!$E$14</definedName>
    <definedName name="PROD_COUV_ARBRES_ARBUSTES_EN_POT_N_M05">Surfaces_Horti!$F$14</definedName>
    <definedName name="PROD_COUV_ARBRES_ARBUSTES_EN_POT_N_M06">Surfaces_Horti!$G$14</definedName>
    <definedName name="PROD_COUV_ARBRES_ARBUSTES_EN_POT_N_M07">Surfaces_Horti!$H$14</definedName>
    <definedName name="PROD_COUV_ARBRES_ARBUSTES_EN_POT_N_M08">Surfaces_Horti!$I$14</definedName>
    <definedName name="PROD_COUV_ARBRES_ARBUSTES_EN_POT_N_M09">Surfaces_Horti!$J$14</definedName>
    <definedName name="PROD_COUV_ARBRES_ARBUSTES_EN_POT_N_M10">Surfaces_Horti!$K$14</definedName>
    <definedName name="PROD_COUV_ARBRES_ARBUSTES_EN_POT_N_M11">Surfaces_Horti!$L$14</definedName>
    <definedName name="PROD_COUV_ARBRES_ARBUSTES_EN_POT_N_M12">Surfaces_Horti!$M$14</definedName>
    <definedName name="PROD_COUV_ARBRES_ARBUSTES_EN_POT_N_MOY">Surfaces_Horti!$N$14</definedName>
    <definedName name="PROD_COUV_ARBRES_ARBUSTES_EN_POT_N1_M01">Surfaces_Horti!$B$51</definedName>
    <definedName name="PROD_COUV_ARBRES_ARBUSTES_EN_POT_N1_M02">Surfaces_Horti!$C$51</definedName>
    <definedName name="PROD_COUV_ARBRES_ARBUSTES_EN_POT_N1_M03">Surfaces_Horti!$D$51</definedName>
    <definedName name="PROD_COUV_ARBRES_ARBUSTES_EN_POT_N1_M04">Surfaces_Horti!$E$51</definedName>
    <definedName name="PROD_COUV_ARBRES_ARBUSTES_EN_POT_N1_M05">Surfaces_Horti!$F$51</definedName>
    <definedName name="PROD_COUV_ARBRES_ARBUSTES_EN_POT_N1_M06">Surfaces_Horti!$G$51</definedName>
    <definedName name="PROD_COUV_ARBRES_ARBUSTES_EN_POT_N1_M07">Surfaces_Horti!$H$51</definedName>
    <definedName name="PROD_COUV_ARBRES_ARBUSTES_EN_POT_N1_M08">Surfaces_Horti!$I$51</definedName>
    <definedName name="PROD_COUV_ARBRES_ARBUSTES_EN_POT_N1_M09">Surfaces_Horti!$J$51</definedName>
    <definedName name="PROD_COUV_ARBRES_ARBUSTES_EN_POT_N1_M10">Surfaces_Horti!$K$51</definedName>
    <definedName name="PROD_COUV_ARBRES_ARBUSTES_EN_POT_N1_M11">Surfaces_Horti!$L$51</definedName>
    <definedName name="PROD_COUV_ARBRES_ARBUSTES_EN_POT_N1_M12">Surfaces_Horti!$M$51</definedName>
    <definedName name="PROD_COUV_ARBRES_ARBUSTES_EN_POT_N1_MOY">Surfaces_Horti!$N$51</definedName>
    <definedName name="PROD_COUV_ARBRES_ARBUSTES_EN_POT_N2_M01">Surfaces_Horti!$B$88</definedName>
    <definedName name="PROD_COUV_ARBRES_ARBUSTES_EN_POT_N2_M02">Surfaces_Horti!$C$88</definedName>
    <definedName name="PROD_COUV_ARBRES_ARBUSTES_EN_POT_N2_M03">Surfaces_Horti!$D$88</definedName>
    <definedName name="PROD_COUV_ARBRES_ARBUSTES_EN_POT_N2_M04">Surfaces_Horti!$E$88</definedName>
    <definedName name="PROD_COUV_ARBRES_ARBUSTES_EN_POT_N2_M05">Surfaces_Horti!$F$88</definedName>
    <definedName name="PROD_COUV_ARBRES_ARBUSTES_EN_POT_N2_M06">Surfaces_Horti!$G$88</definedName>
    <definedName name="PROD_COUV_ARBRES_ARBUSTES_EN_POT_N2_M07">Surfaces_Horti!$H$88</definedName>
    <definedName name="PROD_COUV_ARBRES_ARBUSTES_EN_POT_N2_M08">Surfaces_Horti!$I$88</definedName>
    <definedName name="PROD_COUV_ARBRES_ARBUSTES_EN_POT_N2_M09">Surfaces_Horti!$J$88</definedName>
    <definedName name="PROD_COUV_ARBRES_ARBUSTES_EN_POT_N2_M10">Surfaces_Horti!$K$88</definedName>
    <definedName name="PROD_COUV_ARBRES_ARBUSTES_EN_POT_N2_M11">Surfaces_Horti!$L$88</definedName>
    <definedName name="PROD_COUV_ARBRES_ARBUSTES_EN_POT_N2_M12">Surfaces_Horti!$M$88</definedName>
    <definedName name="PROD_COUV_ARBRES_ARBUSTES_EN_POT_N2_MOY">Surfaces_Horti!$N$88</definedName>
    <definedName name="PROD_COUV_AUTRES_ARBRES_EN_POT_N_M01">Surfaces_Horti!$B$16</definedName>
    <definedName name="PROD_COUV_AUTRES_ARBRES_EN_POT_N_M02">Surfaces_Horti!$C$16</definedName>
    <definedName name="PROD_COUV_AUTRES_ARBRES_EN_POT_N_M03">Surfaces_Horti!$D$16</definedName>
    <definedName name="PROD_COUV_AUTRES_ARBRES_EN_POT_N_M04">Surfaces_Horti!$E$16</definedName>
    <definedName name="PROD_COUV_AUTRES_ARBRES_EN_POT_N_M05">Surfaces_Horti!$F$16</definedName>
    <definedName name="PROD_COUV_AUTRES_ARBRES_EN_POT_N_M06">Surfaces_Horti!$G$16</definedName>
    <definedName name="PROD_COUV_AUTRES_ARBRES_EN_POT_N_M07">Surfaces_Horti!$H$16</definedName>
    <definedName name="PROD_COUV_AUTRES_ARBRES_EN_POT_N_M08">Surfaces_Horti!$I$16</definedName>
    <definedName name="PROD_COUV_AUTRES_ARBRES_EN_POT_N_M09">Surfaces_Horti!$J$16</definedName>
    <definedName name="PROD_COUV_AUTRES_ARBRES_EN_POT_N_M10">Surfaces_Horti!$K$16</definedName>
    <definedName name="PROD_COUV_AUTRES_ARBRES_EN_POT_N_M11">Surfaces_Horti!$L$16</definedName>
    <definedName name="PROD_COUV_AUTRES_ARBRES_EN_POT_N_M12">Surfaces_Horti!$M$16</definedName>
    <definedName name="PROD_COUV_AUTRES_ARBRES_EN_POT_N_MOY">Surfaces_Horti!$N$16</definedName>
    <definedName name="PROD_COUV_AUTRES_ARBRES_EN_POT_N1_M01">Surfaces_Horti!$B$53</definedName>
    <definedName name="PROD_COUV_AUTRES_ARBRES_EN_POT_N1_M02">Surfaces_Horti!$C$53</definedName>
    <definedName name="PROD_COUV_AUTRES_ARBRES_EN_POT_N1_M03">Surfaces_Horti!$D$53</definedName>
    <definedName name="PROD_COUV_AUTRES_ARBRES_EN_POT_N1_M04">Surfaces_Horti!$E$53</definedName>
    <definedName name="PROD_COUV_AUTRES_ARBRES_EN_POT_N1_M05">Surfaces_Horti!$F$53</definedName>
    <definedName name="PROD_COUV_AUTRES_ARBRES_EN_POT_N1_M06">Surfaces_Horti!$G$53</definedName>
    <definedName name="PROD_COUV_AUTRES_ARBRES_EN_POT_N1_M07">Surfaces_Horti!$H$53</definedName>
    <definedName name="PROD_COUV_AUTRES_ARBRES_EN_POT_N1_M08">Surfaces_Horti!$I$53</definedName>
    <definedName name="PROD_COUV_AUTRES_ARBRES_EN_POT_N1_M09">Surfaces_Horti!$J$53</definedName>
    <definedName name="PROD_COUV_AUTRES_ARBRES_EN_POT_N1_M10">Surfaces_Horti!$K$53</definedName>
    <definedName name="PROD_COUV_AUTRES_ARBRES_EN_POT_N1_M11">Surfaces_Horti!$L$53</definedName>
    <definedName name="PROD_COUV_AUTRES_ARBRES_EN_POT_N1_M12">Surfaces_Horti!$M$53</definedName>
    <definedName name="PROD_COUV_AUTRES_ARBRES_EN_POT_N1_MOY">Surfaces_Horti!$N$53</definedName>
    <definedName name="PROD_COUV_AUTRES_ARBRES_EN_POT_N2_M01">Surfaces_Horti!$B$90</definedName>
    <definedName name="PROD_COUV_AUTRES_ARBRES_EN_POT_N2_M02">Surfaces_Horti!$C$90</definedName>
    <definedName name="PROD_COUV_AUTRES_ARBRES_EN_POT_N2_M03">Surfaces_Horti!$D$90</definedName>
    <definedName name="PROD_COUV_AUTRES_ARBRES_EN_POT_N2_M04">Surfaces_Horti!$E$90</definedName>
    <definedName name="PROD_COUV_AUTRES_ARBRES_EN_POT_N2_M05">Surfaces_Horti!$F$90</definedName>
    <definedName name="PROD_COUV_AUTRES_ARBRES_EN_POT_N2_M06">Surfaces_Horti!$G$90</definedName>
    <definedName name="PROD_COUV_AUTRES_ARBRES_EN_POT_N2_M07">Surfaces_Horti!$H$90</definedName>
    <definedName name="PROD_COUV_AUTRES_ARBRES_EN_POT_N2_M08">Surfaces_Horti!$I$90</definedName>
    <definedName name="PROD_COUV_AUTRES_ARBRES_EN_POT_N2_M09">Surfaces_Horti!$J$90</definedName>
    <definedName name="PROD_COUV_AUTRES_ARBRES_EN_POT_N2_M10">Surfaces_Horti!$K$90</definedName>
    <definedName name="PROD_COUV_AUTRES_ARBRES_EN_POT_N2_M11">Surfaces_Horti!$L$90</definedName>
    <definedName name="PROD_COUV_AUTRES_ARBRES_EN_POT_N2_M12">Surfaces_Horti!$M$90</definedName>
    <definedName name="PROD_COUV_AUTRES_ARBRES_EN_POT_N2_MOY">Surfaces_Horti!$N$90</definedName>
    <definedName name="PROD_COUV_AUTRES_CULTURES_PLEINE_TERRE_N_M01">Surfaces_Horti!$B$19</definedName>
    <definedName name="PROD_COUV_AUTRES_CULTURES_PLEINE_TERRE_N_M02">Surfaces_Horti!$C$19</definedName>
    <definedName name="PROD_COUV_AUTRES_CULTURES_PLEINE_TERRE_N_M03">Surfaces_Horti!$D$19</definedName>
    <definedName name="PROD_COUV_AUTRES_CULTURES_PLEINE_TERRE_N_M04">Surfaces_Horti!$E$19</definedName>
    <definedName name="PROD_COUV_AUTRES_CULTURES_PLEINE_TERRE_N_M05">Surfaces_Horti!$F$19</definedName>
    <definedName name="PROD_COUV_AUTRES_CULTURES_PLEINE_TERRE_N_M06">Surfaces_Horti!$G$19</definedName>
    <definedName name="PROD_COUV_AUTRES_CULTURES_PLEINE_TERRE_N_M07">Surfaces_Horti!$H$19</definedName>
    <definedName name="PROD_COUV_AUTRES_CULTURES_PLEINE_TERRE_N_M08">Surfaces_Horti!$I$19</definedName>
    <definedName name="PROD_COUV_AUTRES_CULTURES_PLEINE_TERRE_N_M09">Surfaces_Horti!$J$19</definedName>
    <definedName name="PROD_COUV_AUTRES_CULTURES_PLEINE_TERRE_N_M10">Surfaces_Horti!$K$19</definedName>
    <definedName name="PROD_COUV_AUTRES_CULTURES_PLEINE_TERRE_N_M11">Surfaces_Horti!$L$19</definedName>
    <definedName name="PROD_COUV_AUTRES_CULTURES_PLEINE_TERRE_N_M12">Surfaces_Horti!$M$19</definedName>
    <definedName name="PROD_COUV_AUTRES_CULTURES_PLEINE_TERRE_N_MOY">Surfaces_Horti!$N$19</definedName>
    <definedName name="PROD_COUV_AUTRES_CULTURES_PLEINE_TERRE_N1_M01">Surfaces_Horti!$B$56</definedName>
    <definedName name="PROD_COUV_AUTRES_CULTURES_PLEINE_TERRE_N1_M02">Surfaces_Horti!$C$56</definedName>
    <definedName name="PROD_COUV_AUTRES_CULTURES_PLEINE_TERRE_N1_M03">Surfaces_Horti!$D$56</definedName>
    <definedName name="PROD_COUV_AUTRES_CULTURES_PLEINE_TERRE_N1_M04">Surfaces_Horti!$E$56</definedName>
    <definedName name="PROD_COUV_AUTRES_CULTURES_PLEINE_TERRE_N1_M05">Surfaces_Horti!$F$56</definedName>
    <definedName name="PROD_COUV_AUTRES_CULTURES_PLEINE_TERRE_N1_M06">Surfaces_Horti!$G$56</definedName>
    <definedName name="PROD_COUV_AUTRES_CULTURES_PLEINE_TERRE_N1_M07">Surfaces_Horti!$H$56</definedName>
    <definedName name="PROD_COUV_AUTRES_CULTURES_PLEINE_TERRE_N1_M08">Surfaces_Horti!$I$56</definedName>
    <definedName name="PROD_COUV_AUTRES_CULTURES_PLEINE_TERRE_N1_M09">Surfaces_Horti!$J$56</definedName>
    <definedName name="PROD_COUV_AUTRES_CULTURES_PLEINE_TERRE_N1_M10">Surfaces_Horti!$K$56</definedName>
    <definedName name="PROD_COUV_AUTRES_CULTURES_PLEINE_TERRE_N1_M11">Surfaces_Horti!$L$56</definedName>
    <definedName name="PROD_COUV_AUTRES_CULTURES_PLEINE_TERRE_N1_M12">Surfaces_Horti!$M$56</definedName>
    <definedName name="PROD_COUV_AUTRES_CULTURES_PLEINE_TERRE_N1_MOY">Surfaces_Horti!$N$56</definedName>
    <definedName name="PROD_COUV_AUTRES_CULTURES_PLEINE_TERRE_N2_M01">Surfaces_Horti!$B$93</definedName>
    <definedName name="PROD_COUV_AUTRES_CULTURES_PLEINE_TERRE_N2_M02">Surfaces_Horti!$C$93</definedName>
    <definedName name="PROD_COUV_AUTRES_CULTURES_PLEINE_TERRE_N2_M03">Surfaces_Horti!$D$93</definedName>
    <definedName name="PROD_COUV_AUTRES_CULTURES_PLEINE_TERRE_N2_M04">Surfaces_Horti!$E$93</definedName>
    <definedName name="PROD_COUV_AUTRES_CULTURES_PLEINE_TERRE_N2_M05">Surfaces_Horti!$F$93</definedName>
    <definedName name="PROD_COUV_AUTRES_CULTURES_PLEINE_TERRE_N2_M06">Surfaces_Horti!$G$93</definedName>
    <definedName name="PROD_COUV_AUTRES_CULTURES_PLEINE_TERRE_N2_M07">Surfaces_Horti!$H$93</definedName>
    <definedName name="PROD_COUV_AUTRES_CULTURES_PLEINE_TERRE_N2_M08">Surfaces_Horti!$I$93</definedName>
    <definedName name="PROD_COUV_AUTRES_CULTURES_PLEINE_TERRE_N2_M09">Surfaces_Horti!$J$93</definedName>
    <definedName name="PROD_COUV_AUTRES_CULTURES_PLEINE_TERRE_N2_M10">Surfaces_Horti!$K$93</definedName>
    <definedName name="PROD_COUV_AUTRES_CULTURES_PLEINE_TERRE_N2_M11">Surfaces_Horti!$L$93</definedName>
    <definedName name="PROD_COUV_AUTRES_CULTURES_PLEINE_TERRE_N2_M12">Surfaces_Horti!$M$93</definedName>
    <definedName name="PROD_COUV_AUTRES_CULTURES_PLEINE_TERRE_N2_MOY">Surfaces_Horti!$N$93</definedName>
    <definedName name="PROD_COUV_AUTRES_FLEURS_COUPEES_EN_POT_N_M01">Surfaces_Horti!$B$18</definedName>
    <definedName name="PROD_COUV_AUTRES_FLEURS_COUPEES_EN_POT_N_M02">Surfaces_Horti!$C$18</definedName>
    <definedName name="PROD_COUV_AUTRES_FLEURS_COUPEES_EN_POT_N_M03">Surfaces_Horti!$D$18</definedName>
    <definedName name="PROD_COUV_AUTRES_FLEURS_COUPEES_EN_POT_N_M04">Surfaces_Horti!$E$18</definedName>
    <definedName name="PROD_COUV_AUTRES_FLEURS_COUPEES_EN_POT_N_M05">Surfaces_Horti!$F$18</definedName>
    <definedName name="PROD_COUV_AUTRES_FLEURS_COUPEES_EN_POT_N_M06">Surfaces_Horti!$G$18</definedName>
    <definedName name="PROD_COUV_AUTRES_FLEURS_COUPEES_EN_POT_N_M07">Surfaces_Horti!$H$18</definedName>
    <definedName name="PROD_COUV_AUTRES_FLEURS_COUPEES_EN_POT_N_M08">Surfaces_Horti!$I$18</definedName>
    <definedName name="PROD_COUV_AUTRES_FLEURS_COUPEES_EN_POT_N_M09">Surfaces_Horti!$J$18</definedName>
    <definedName name="PROD_COUV_AUTRES_FLEURS_COUPEES_EN_POT_N_M10">Surfaces_Horti!$K$18</definedName>
    <definedName name="PROD_COUV_AUTRES_FLEURS_COUPEES_EN_POT_N_M11">Surfaces_Horti!$L$18</definedName>
    <definedName name="PROD_COUV_AUTRES_FLEURS_COUPEES_EN_POT_N_M12">Surfaces_Horti!$M$18</definedName>
    <definedName name="PROD_COUV_AUTRES_FLEURS_COUPEES_EN_POT_N_MOY">Surfaces_Horti!$N$18</definedName>
    <definedName name="PROD_COUV_AUTRES_FLEURS_COUPEES_EN_POT_N1_M01">Surfaces_Horti!$B$55</definedName>
    <definedName name="PROD_COUV_AUTRES_FLEURS_COUPEES_EN_POT_N1_M02">Surfaces_Horti!$C$55</definedName>
    <definedName name="PROD_COUV_AUTRES_FLEURS_COUPEES_EN_POT_N1_M03">Surfaces_Horti!$D$55</definedName>
    <definedName name="PROD_COUV_AUTRES_FLEURS_COUPEES_EN_POT_N1_M04">Surfaces_Horti!$E$55</definedName>
    <definedName name="PROD_COUV_AUTRES_FLEURS_COUPEES_EN_POT_N1_M05">Surfaces_Horti!$F$55</definedName>
    <definedName name="PROD_COUV_AUTRES_FLEURS_COUPEES_EN_POT_N1_M06">Surfaces_Horti!$G$55</definedName>
    <definedName name="PROD_COUV_AUTRES_FLEURS_COUPEES_EN_POT_N1_M07">Surfaces_Horti!$H$55</definedName>
    <definedName name="PROD_COUV_AUTRES_FLEURS_COUPEES_EN_POT_N1_M08">Surfaces_Horti!$I$55</definedName>
    <definedName name="PROD_COUV_AUTRES_FLEURS_COUPEES_EN_POT_N1_M09">Surfaces_Horti!$J$55</definedName>
    <definedName name="PROD_COUV_AUTRES_FLEURS_COUPEES_EN_POT_N1_M10">Surfaces_Horti!$K$55</definedName>
    <definedName name="PROD_COUV_AUTRES_FLEURS_COUPEES_EN_POT_N1_M11">Surfaces_Horti!$L$55</definedName>
    <definedName name="PROD_COUV_AUTRES_FLEURS_COUPEES_EN_POT_N1_M12">Surfaces_Horti!$M$55</definedName>
    <definedName name="PROD_COUV_AUTRES_FLEURS_COUPEES_EN_POT_N1_MOY">Surfaces_Horti!$N$55</definedName>
    <definedName name="PROD_COUV_AUTRES_FLEURS_COUPEES_EN_POT_N2_M01">Surfaces_Horti!$B$92</definedName>
    <definedName name="PROD_COUV_AUTRES_FLEURS_COUPEES_EN_POT_N2_M02">Surfaces_Horti!$C$92</definedName>
    <definedName name="PROD_COUV_AUTRES_FLEURS_COUPEES_EN_POT_N2_M03">Surfaces_Horti!$D$92</definedName>
    <definedName name="PROD_COUV_AUTRES_FLEURS_COUPEES_EN_POT_N2_M04">Surfaces_Horti!$E$92</definedName>
    <definedName name="PROD_COUV_AUTRES_FLEURS_COUPEES_EN_POT_N2_M05">Surfaces_Horti!$F$92</definedName>
    <definedName name="PROD_COUV_AUTRES_FLEURS_COUPEES_EN_POT_N2_M06">Surfaces_Horti!$G$92</definedName>
    <definedName name="PROD_COUV_AUTRES_FLEURS_COUPEES_EN_POT_N2_M07">Surfaces_Horti!$H$92</definedName>
    <definedName name="PROD_COUV_AUTRES_FLEURS_COUPEES_EN_POT_N2_M08">Surfaces_Horti!$I$92</definedName>
    <definedName name="PROD_COUV_AUTRES_FLEURS_COUPEES_EN_POT_N2_M09">Surfaces_Horti!$J$92</definedName>
    <definedName name="PROD_COUV_AUTRES_FLEURS_COUPEES_EN_POT_N2_M10">Surfaces_Horti!$K$92</definedName>
    <definedName name="PROD_COUV_AUTRES_FLEURS_COUPEES_EN_POT_N2_M11">Surfaces_Horti!$L$92</definedName>
    <definedName name="PROD_COUV_AUTRES_FLEURS_COUPEES_EN_POT_N2_M12">Surfaces_Horti!$M$92</definedName>
    <definedName name="PROD_COUV_AUTRES_FLEURS_COUPEES_EN_POT_N2_MOY">Surfaces_Horti!$N$92</definedName>
    <definedName name="PROD_COUV_FLEURS_COUPEES_PLEINE_TERRE_N_M01">Surfaces_Horti!$B$17</definedName>
    <definedName name="PROD_COUV_FLEURS_COUPEES_PLEINE_TERRE_N_M02">Surfaces_Horti!$C$17</definedName>
    <definedName name="PROD_COUV_FLEURS_COUPEES_PLEINE_TERRE_N_M03">Surfaces_Horti!$D$17</definedName>
    <definedName name="PROD_COUV_FLEURS_COUPEES_PLEINE_TERRE_N_M04">Surfaces_Horti!$E$17</definedName>
    <definedName name="PROD_COUV_FLEURS_COUPEES_PLEINE_TERRE_N_M05">Surfaces_Horti!$F$17</definedName>
    <definedName name="PROD_COUV_FLEURS_COUPEES_PLEINE_TERRE_N_M06">Surfaces_Horti!$G$17</definedName>
    <definedName name="PROD_COUV_FLEURS_COUPEES_PLEINE_TERRE_N_M07">Surfaces_Horti!$H$17</definedName>
    <definedName name="PROD_COUV_FLEURS_COUPEES_PLEINE_TERRE_N_M08">Surfaces_Horti!$I$17</definedName>
    <definedName name="PROD_COUV_FLEURS_COUPEES_PLEINE_TERRE_N_M09">Surfaces_Horti!$J$17</definedName>
    <definedName name="PROD_COUV_FLEURS_COUPEES_PLEINE_TERRE_N_M10">Surfaces_Horti!$K$17</definedName>
    <definedName name="PROD_COUV_FLEURS_COUPEES_PLEINE_TERRE_N_M11">Surfaces_Horti!$L$17</definedName>
    <definedName name="PROD_COUV_FLEURS_COUPEES_PLEINE_TERRE_N_M12">Surfaces_Horti!$M$17</definedName>
    <definedName name="PROD_COUV_FLEURS_COUPEES_PLEINE_TERRE_N_MOY">Surfaces_Horti!$N$17</definedName>
    <definedName name="PROD_COUV_FLEURS_COUPEES_PLEINE_TERRE_N1_M01">Surfaces_Horti!$B$54</definedName>
    <definedName name="PROD_COUV_FLEURS_COUPEES_PLEINE_TERRE_N1_M02">Surfaces_Horti!$C$54</definedName>
    <definedName name="PROD_COUV_FLEURS_COUPEES_PLEINE_TERRE_N1_M03">Surfaces_Horti!$D$54</definedName>
    <definedName name="PROD_COUV_FLEURS_COUPEES_PLEINE_TERRE_N1_M04">Surfaces_Horti!$E$54</definedName>
    <definedName name="PROD_COUV_FLEURS_COUPEES_PLEINE_TERRE_N1_M05">Surfaces_Horti!$F$54</definedName>
    <definedName name="PROD_COUV_FLEURS_COUPEES_PLEINE_TERRE_N1_M06">Surfaces_Horti!$G$54</definedName>
    <definedName name="PROD_COUV_FLEURS_COUPEES_PLEINE_TERRE_N1_M07">Surfaces_Horti!$H$54</definedName>
    <definedName name="PROD_COUV_FLEURS_COUPEES_PLEINE_TERRE_N1_M08">Surfaces_Horti!$I$54</definedName>
    <definedName name="PROD_COUV_FLEURS_COUPEES_PLEINE_TERRE_N1_M09">Surfaces_Horti!$J$54</definedName>
    <definedName name="PROD_COUV_FLEURS_COUPEES_PLEINE_TERRE_N1_M10">Surfaces_Horti!$K$54</definedName>
    <definedName name="PROD_COUV_FLEURS_COUPEES_PLEINE_TERRE_N1_M11">Surfaces_Horti!$L$54</definedName>
    <definedName name="PROD_COUV_FLEURS_COUPEES_PLEINE_TERRE_N1_M12">Surfaces_Horti!$M$54</definedName>
    <definedName name="PROD_COUV_FLEURS_COUPEES_PLEINE_TERRE_N1_MOY">Surfaces_Horti!$N$54</definedName>
    <definedName name="PROD_COUV_FLEURS_COUPEES_PLEINE_TERRE_N2_M01">Surfaces_Horti!$B$91</definedName>
    <definedName name="PROD_COUV_FLEURS_COUPEES_PLEINE_TERRE_N2_M02">Surfaces_Horti!$C$91</definedName>
    <definedName name="PROD_COUV_FLEURS_COUPEES_PLEINE_TERRE_N2_M03">Surfaces_Horti!$D$91</definedName>
    <definedName name="PROD_COUV_FLEURS_COUPEES_PLEINE_TERRE_N2_M04">Surfaces_Horti!$E$91</definedName>
    <definedName name="PROD_COUV_FLEURS_COUPEES_PLEINE_TERRE_N2_M05">Surfaces_Horti!$F$91</definedName>
    <definedName name="PROD_COUV_FLEURS_COUPEES_PLEINE_TERRE_N2_M06">Surfaces_Horti!$G$91</definedName>
    <definedName name="PROD_COUV_FLEURS_COUPEES_PLEINE_TERRE_N2_M07">Surfaces_Horti!$H$91</definedName>
    <definedName name="PROD_COUV_FLEURS_COUPEES_PLEINE_TERRE_N2_M08">Surfaces_Horti!$I$91</definedName>
    <definedName name="PROD_COUV_FLEURS_COUPEES_PLEINE_TERRE_N2_M09">Surfaces_Horti!$J$91</definedName>
    <definedName name="PROD_COUV_FLEURS_COUPEES_PLEINE_TERRE_N2_M10">Surfaces_Horti!$K$91</definedName>
    <definedName name="PROD_COUV_FLEURS_COUPEES_PLEINE_TERRE_N2_M11">Surfaces_Horti!$L$91</definedName>
    <definedName name="PROD_COUV_FLEURS_COUPEES_PLEINE_TERRE_N2_M12">Surfaces_Horti!$M$91</definedName>
    <definedName name="PROD_COUV_FLEURS_COUPEES_PLEINE_TERRE_N2_MOY">Surfaces_Horti!$N$91</definedName>
    <definedName name="PROD_COUV_PLANTES_EN_POT_N_M01">Surfaces_Horti!$B$13</definedName>
    <definedName name="PROD_COUV_PLANTES_EN_POT_N_M02">Surfaces_Horti!$C$13</definedName>
    <definedName name="PROD_COUV_PLANTES_EN_POT_N_M03">Surfaces_Horti!$D$13</definedName>
    <definedName name="PROD_COUV_PLANTES_EN_POT_N_M04">Surfaces_Horti!$E$13</definedName>
    <definedName name="PROD_COUV_PLANTES_EN_POT_N_M05">Surfaces_Horti!$F$13</definedName>
    <definedName name="PROD_COUV_PLANTES_EN_POT_N_M06">Surfaces_Horti!$G$13</definedName>
    <definedName name="PROD_COUV_PLANTES_EN_POT_N_M07">Surfaces_Horti!$H$13</definedName>
    <definedName name="PROD_COUV_PLANTES_EN_POT_N_M08">Surfaces_Horti!$I$13</definedName>
    <definedName name="PROD_COUV_PLANTES_EN_POT_N_M09">Surfaces_Horti!$J$13</definedName>
    <definedName name="PROD_COUV_PLANTES_EN_POT_N_M10">Surfaces_Horti!$K$13</definedName>
    <definedName name="PROD_COUV_PLANTES_EN_POT_N_M11">Surfaces_Horti!$L$13</definedName>
    <definedName name="PROD_COUV_PLANTES_EN_POT_N_M12">Surfaces_Horti!$M$13</definedName>
    <definedName name="PROD_COUV_PLANTES_EN_POT_N_MOY">Surfaces_Horti!$N$13</definedName>
    <definedName name="PROD_COUV_PLANTES_EN_POT_N1_M01">Surfaces_Horti!$B$50</definedName>
    <definedName name="PROD_COUV_PLANTES_EN_POT_N1_M02">Surfaces_Horti!$C$50</definedName>
    <definedName name="PROD_COUV_PLANTES_EN_POT_N1_M03">Surfaces_Horti!$D$50</definedName>
    <definedName name="PROD_COUV_PLANTES_EN_POT_N1_M04">Surfaces_Horti!$E$50</definedName>
    <definedName name="PROD_COUV_PLANTES_EN_POT_N1_M05">Surfaces_Horti!$F$50</definedName>
    <definedName name="PROD_COUV_PLANTES_EN_POT_N1_M06">Surfaces_Horti!$G$50</definedName>
    <definedName name="PROD_COUV_PLANTES_EN_POT_N1_M07">Surfaces_Horti!$H$50</definedName>
    <definedName name="PROD_COUV_PLANTES_EN_POT_N1_M08">Surfaces_Horti!$I$50</definedName>
    <definedName name="PROD_COUV_PLANTES_EN_POT_N1_M09">Surfaces_Horti!$J$50</definedName>
    <definedName name="PROD_COUV_PLANTES_EN_POT_N1_M10">Surfaces_Horti!$K$50</definedName>
    <definedName name="PROD_COUV_PLANTES_EN_POT_N1_M11">Surfaces_Horti!$L$50</definedName>
    <definedName name="PROD_COUV_PLANTES_EN_POT_N1_M12">Surfaces_Horti!$M$50</definedName>
    <definedName name="PROD_COUV_PLANTES_EN_POT_N1_MOY">Surfaces_Horti!$N$50</definedName>
    <definedName name="PROD_COUV_PLANTES_EN_POT_N2_M01">Surfaces_Horti!$B$87</definedName>
    <definedName name="PROD_COUV_PLANTES_EN_POT_N2_M02">Surfaces_Horti!$C$87</definedName>
    <definedName name="PROD_COUV_PLANTES_EN_POT_N2_M03">Surfaces_Horti!$D$87</definedName>
    <definedName name="PROD_COUV_PLANTES_EN_POT_N2_M04">Surfaces_Horti!$E$87</definedName>
    <definedName name="PROD_COUV_PLANTES_EN_POT_N2_M05">Surfaces_Horti!$F$87</definedName>
    <definedName name="PROD_COUV_PLANTES_EN_POT_N2_M06">Surfaces_Horti!$G$87</definedName>
    <definedName name="PROD_COUV_PLANTES_EN_POT_N2_M07">Surfaces_Horti!$H$87</definedName>
    <definedName name="PROD_COUV_PLANTES_EN_POT_N2_M08">Surfaces_Horti!$I$87</definedName>
    <definedName name="PROD_COUV_PLANTES_EN_POT_N2_M09">Surfaces_Horti!$J$87</definedName>
    <definedName name="PROD_COUV_PLANTES_EN_POT_N2_M10">Surfaces_Horti!$K$87</definedName>
    <definedName name="PROD_COUV_PLANTES_EN_POT_N2_M11">Surfaces_Horti!$L$87</definedName>
    <definedName name="PROD_COUV_PLANTES_EN_POT_N2_M12">Surfaces_Horti!$M$87</definedName>
    <definedName name="PROD_COUV_PLANTES_EN_POT_N2_MOY">Surfaces_Horti!$N$87</definedName>
    <definedName name="PROD_COUV_PLANTES_MASSIF_VIVACES_N_M01">Surfaces_Horti!$B$12</definedName>
    <definedName name="PROD_COUV_PLANTES_MASSIF_VIVACES_N_M02">Surfaces_Horti!$C$12</definedName>
    <definedName name="PROD_COUV_PLANTES_MASSIF_VIVACES_N_M03">Surfaces_Horti!$D$12</definedName>
    <definedName name="PROD_COUV_PLANTES_MASSIF_VIVACES_N_M04">Surfaces_Horti!$E$12</definedName>
    <definedName name="PROD_COUV_PLANTES_MASSIF_VIVACES_N_M05">Surfaces_Horti!$F$12</definedName>
    <definedName name="PROD_COUV_PLANTES_MASSIF_VIVACES_N_M06">Surfaces_Horti!$G$12</definedName>
    <definedName name="PROD_COUV_PLANTES_MASSIF_VIVACES_N_M07">Surfaces_Horti!$H$12</definedName>
    <definedName name="PROD_COUV_PLANTES_MASSIF_VIVACES_N_M08">Surfaces_Horti!$I$12</definedName>
    <definedName name="PROD_COUV_PLANTES_MASSIF_VIVACES_N_M09">Surfaces_Horti!$J$12</definedName>
    <definedName name="PROD_COUV_PLANTES_MASSIF_VIVACES_N_M10">Surfaces_Horti!$K$12</definedName>
    <definedName name="PROD_COUV_PLANTES_MASSIF_VIVACES_N_M11">Surfaces_Horti!$L$12</definedName>
    <definedName name="PROD_COUV_PLANTES_MASSIF_VIVACES_N_M12">Surfaces_Horti!$M$12</definedName>
    <definedName name="PROD_COUV_PLANTES_MASSIF_VIVACES_N_MOY">Surfaces_Horti!$N$12</definedName>
    <definedName name="PROD_COUV_PLANTES_MASSIF_VIVACES_N1_M01">Surfaces_Horti!$B$49</definedName>
    <definedName name="PROD_COUV_PLANTES_MASSIF_VIVACES_N1_M02">Surfaces_Horti!$C$49</definedName>
    <definedName name="PROD_COUV_PLANTES_MASSIF_VIVACES_N1_M03">Surfaces_Horti!$D$49</definedName>
    <definedName name="PROD_COUV_PLANTES_MASSIF_VIVACES_N1_M04">Surfaces_Horti!$E$49</definedName>
    <definedName name="PROD_COUV_PLANTES_MASSIF_VIVACES_N1_M05">Surfaces_Horti!$F$49</definedName>
    <definedName name="PROD_COUV_PLANTES_MASSIF_VIVACES_N1_M06">Surfaces_Horti!$G$49</definedName>
    <definedName name="PROD_COUV_PLANTES_MASSIF_VIVACES_N1_M07">Surfaces_Horti!$H$49</definedName>
    <definedName name="PROD_COUV_PLANTES_MASSIF_VIVACES_N1_M08">Surfaces_Horti!$I$49</definedName>
    <definedName name="PROD_COUV_PLANTES_MASSIF_VIVACES_N1_M09">Surfaces_Horti!$J$49</definedName>
    <definedName name="PROD_COUV_PLANTES_MASSIF_VIVACES_N1_M10">Surfaces_Horti!$K$49</definedName>
    <definedName name="PROD_COUV_PLANTES_MASSIF_VIVACES_N1_M11">Surfaces_Horti!$L$49</definedName>
    <definedName name="PROD_COUV_PLANTES_MASSIF_VIVACES_N1_M12">Surfaces_Horti!$M$49</definedName>
    <definedName name="PROD_COUV_PLANTES_MASSIF_VIVACES_N1_MOY">Surfaces_Horti!$N$49</definedName>
    <definedName name="PROD_COUV_PLANTES_MASSIF_VIVACES_N2_M01">Surfaces_Horti!$B$86</definedName>
    <definedName name="PROD_COUV_PLANTES_MASSIF_VIVACES_N2_M02">Surfaces_Horti!$C$86</definedName>
    <definedName name="PROD_COUV_PLANTES_MASSIF_VIVACES_N2_M03">Surfaces_Horti!$D$86</definedName>
    <definedName name="PROD_COUV_PLANTES_MASSIF_VIVACES_N2_M04">Surfaces_Horti!$E$86</definedName>
    <definedName name="PROD_COUV_PLANTES_MASSIF_VIVACES_N2_M05">Surfaces_Horti!$F$86</definedName>
    <definedName name="PROD_COUV_PLANTES_MASSIF_VIVACES_N2_M06">Surfaces_Horti!$G$86</definedName>
    <definedName name="PROD_COUV_PLANTES_MASSIF_VIVACES_N2_M07">Surfaces_Horti!$H$86</definedName>
    <definedName name="PROD_COUV_PLANTES_MASSIF_VIVACES_N2_M08">Surfaces_Horti!$I$86</definedName>
    <definedName name="PROD_COUV_PLANTES_MASSIF_VIVACES_N2_M09">Surfaces_Horti!$J$86</definedName>
    <definedName name="PROD_COUV_PLANTES_MASSIF_VIVACES_N2_M10">Surfaces_Horti!$K$86</definedName>
    <definedName name="PROD_COUV_PLANTES_MASSIF_VIVACES_N2_M11">Surfaces_Horti!$L$86</definedName>
    <definedName name="PROD_COUV_PLANTES_MASSIF_VIVACES_N2_M12">Surfaces_Horti!$M$86</definedName>
    <definedName name="PROD_COUV_PLANTES_MASSIF_VIVACES_N2_MOY">Surfaces_Horti!$N$86</definedName>
    <definedName name="PROD_COUV_PLANTES_MED_EN_POT_N_M01">Surfaces_Horti!$B$15</definedName>
    <definedName name="PROD_COUV_PLANTES_MED_EN_POT_N_M02">Surfaces_Horti!$C$15</definedName>
    <definedName name="PROD_COUV_PLANTES_MED_EN_POT_N_M03">Surfaces_Horti!$D$15</definedName>
    <definedName name="PROD_COUV_PLANTES_MED_EN_POT_N_M04">Surfaces_Horti!$E$15</definedName>
    <definedName name="PROD_COUV_PLANTES_MED_EN_POT_N_M05">Surfaces_Horti!$F$15</definedName>
    <definedName name="PROD_COUV_PLANTES_MED_EN_POT_N_M06">Surfaces_Horti!$G$15</definedName>
    <definedName name="PROD_COUV_PLANTES_MED_EN_POT_N_M07">Surfaces_Horti!$H$15</definedName>
    <definedName name="PROD_COUV_PLANTES_MED_EN_POT_N_M08">Surfaces_Horti!$I$15</definedName>
    <definedName name="PROD_COUV_PLANTES_MED_EN_POT_N_M09">Surfaces_Horti!$J$15</definedName>
    <definedName name="PROD_COUV_PLANTES_MED_EN_POT_N_M10">Surfaces_Horti!$K$15</definedName>
    <definedName name="PROD_COUV_PLANTES_MED_EN_POT_N_M11">Surfaces_Horti!$L$15</definedName>
    <definedName name="PROD_COUV_PLANTES_MED_EN_POT_N_M12">Surfaces_Horti!$M$15</definedName>
    <definedName name="PROD_COUV_PLANTES_MED_EN_POT_N_MOY">Surfaces_Horti!$N$15</definedName>
    <definedName name="PROD_COUV_PLANTES_MED_EN_POT_N1_M01">Surfaces_Horti!$B$52</definedName>
    <definedName name="PROD_COUV_PLANTES_MED_EN_POT_N1_M02">Surfaces_Horti!$C$52</definedName>
    <definedName name="PROD_COUV_PLANTES_MED_EN_POT_N1_M03">Surfaces_Horti!$D$52</definedName>
    <definedName name="PROD_COUV_PLANTES_MED_EN_POT_N1_M04">Surfaces_Horti!$E$52</definedName>
    <definedName name="PROD_COUV_PLANTES_MED_EN_POT_N1_M05">Surfaces_Horti!$F$52</definedName>
    <definedName name="PROD_COUV_PLANTES_MED_EN_POT_N1_M06">Surfaces_Horti!$G$52</definedName>
    <definedName name="PROD_COUV_PLANTES_MED_EN_POT_N1_M07">Surfaces_Horti!$H$52</definedName>
    <definedName name="PROD_COUV_PLANTES_MED_EN_POT_N1_M08">Surfaces_Horti!$I$52</definedName>
    <definedName name="PROD_COUV_PLANTES_MED_EN_POT_N1_M09">Surfaces_Horti!$J$52</definedName>
    <definedName name="PROD_COUV_PLANTES_MED_EN_POT_N1_M10">Surfaces_Horti!$K$52</definedName>
    <definedName name="PROD_COUV_PLANTES_MED_EN_POT_N1_M11">Surfaces_Horti!$L$52</definedName>
    <definedName name="PROD_COUV_PLANTES_MED_EN_POT_N1_M12">Surfaces_Horti!$M$52</definedName>
    <definedName name="PROD_COUV_PLANTES_MED_EN_POT_N1_MOY">Surfaces_Horti!$N$52</definedName>
    <definedName name="PROD_COUV_PLANTES_MED_EN_POT_N2_M01">Surfaces_Horti!$B$89</definedName>
    <definedName name="PROD_COUV_PLANTES_MED_EN_POT_N2_M02">Surfaces_Horti!$C$89</definedName>
    <definedName name="PROD_COUV_PLANTES_MED_EN_POT_N2_M03">Surfaces_Horti!$D$89</definedName>
    <definedName name="PROD_COUV_PLANTES_MED_EN_POT_N2_M04">Surfaces_Horti!$E$89</definedName>
    <definedName name="PROD_COUV_PLANTES_MED_EN_POT_N2_M05">Surfaces_Horti!$F$89</definedName>
    <definedName name="PROD_COUV_PLANTES_MED_EN_POT_N2_M06">Surfaces_Horti!$G$89</definedName>
    <definedName name="PROD_COUV_PLANTES_MED_EN_POT_N2_M07">Surfaces_Horti!$H$89</definedName>
    <definedName name="PROD_COUV_PLANTES_MED_EN_POT_N2_M08">Surfaces_Horti!$I$89</definedName>
    <definedName name="PROD_COUV_PLANTES_MED_EN_POT_N2_M09">Surfaces_Horti!$J$89</definedName>
    <definedName name="PROD_COUV_PLANTES_MED_EN_POT_N2_M10">Surfaces_Horti!$K$89</definedName>
    <definedName name="PROD_COUV_PLANTES_MED_EN_POT_N2_M11">Surfaces_Horti!$L$89</definedName>
    <definedName name="PROD_COUV_PLANTES_MED_EN_POT_N2_M12">Surfaces_Horti!$M$89</definedName>
    <definedName name="PROD_COUV_PLANTES_MED_EN_POT_N2_MOY">Surfaces_Horti!$N$89</definedName>
    <definedName name="PROD_EXT_ARBRES_ARBUSTES_EN_POT_N_M01">Surfaces_Horti!$B$25</definedName>
    <definedName name="PROD_EXT_ARBRES_ARBUSTES_EN_POT_N_M02">Surfaces_Horti!$C$25</definedName>
    <definedName name="PROD_EXT_ARBRES_ARBUSTES_EN_POT_N_M03">Surfaces_Horti!$D$25</definedName>
    <definedName name="PROD_EXT_ARBRES_ARBUSTES_EN_POT_N_M04">Surfaces_Horti!$E$25</definedName>
    <definedName name="PROD_EXT_ARBRES_ARBUSTES_EN_POT_N_M05">Surfaces_Horti!$F$25</definedName>
    <definedName name="PROD_EXT_ARBRES_ARBUSTES_EN_POT_N_M06">Surfaces_Horti!$G$25</definedName>
    <definedName name="PROD_EXT_ARBRES_ARBUSTES_EN_POT_N_M07">Surfaces_Horti!$H$25</definedName>
    <definedName name="PROD_EXT_ARBRES_ARBUSTES_EN_POT_N_M08">Surfaces_Horti!$I$25</definedName>
    <definedName name="PROD_EXT_ARBRES_ARBUSTES_EN_POT_N_M09">Surfaces_Horti!$J$25</definedName>
    <definedName name="PROD_EXT_ARBRES_ARBUSTES_EN_POT_N_M10">Surfaces_Horti!$K$25</definedName>
    <definedName name="PROD_EXT_ARBRES_ARBUSTES_EN_POT_N_M11">Surfaces_Horti!$L$25</definedName>
    <definedName name="PROD_EXT_ARBRES_ARBUSTES_EN_POT_N_M12">Surfaces_Horti!$M$25</definedName>
    <definedName name="PROD_EXT_ARBRES_ARBUSTES_EN_POT_N_MOY">Surfaces_Horti!$N$25</definedName>
    <definedName name="PROD_EXT_ARBRES_ARBUSTES_EN_POT_N1_M01">Surfaces_Horti!$B$62</definedName>
    <definedName name="PROD_EXT_ARBRES_ARBUSTES_EN_POT_N1_M02">Surfaces_Horti!$C$62</definedName>
    <definedName name="PROD_EXT_ARBRES_ARBUSTES_EN_POT_N1_M03">Surfaces_Horti!$D$62</definedName>
    <definedName name="PROD_EXT_ARBRES_ARBUSTES_EN_POT_N1_M04">Surfaces_Horti!$E$62</definedName>
    <definedName name="PROD_EXT_ARBRES_ARBUSTES_EN_POT_N1_M05">Surfaces_Horti!$F$62</definedName>
    <definedName name="PROD_EXT_ARBRES_ARBUSTES_EN_POT_N1_M06">Surfaces_Horti!$G$62</definedName>
    <definedName name="PROD_EXT_ARBRES_ARBUSTES_EN_POT_N1_M07">Surfaces_Horti!$H$62</definedName>
    <definedName name="PROD_EXT_ARBRES_ARBUSTES_EN_POT_N1_M08">Surfaces_Horti!$I$62</definedName>
    <definedName name="PROD_EXT_ARBRES_ARBUSTES_EN_POT_N1_M09">Surfaces_Horti!$J$62</definedName>
    <definedName name="PROD_EXT_ARBRES_ARBUSTES_EN_POT_N1_M10">Surfaces_Horti!$K$62</definedName>
    <definedName name="PROD_EXT_ARBRES_ARBUSTES_EN_POT_N1_M11">Surfaces_Horti!$L$62</definedName>
    <definedName name="PROD_EXT_ARBRES_ARBUSTES_EN_POT_N1_M12">Surfaces_Horti!$M$62</definedName>
    <definedName name="PROD_EXT_ARBRES_ARBUSTES_EN_POT_N1_MOY">Surfaces_Horti!$N$62</definedName>
    <definedName name="PROD_EXT_ARBRES_ARBUSTES_EN_POT_N2_M01">Surfaces_Horti!$B$99</definedName>
    <definedName name="PROD_EXT_ARBRES_ARBUSTES_EN_POT_N2_M02">Surfaces_Horti!$C$99</definedName>
    <definedName name="PROD_EXT_ARBRES_ARBUSTES_EN_POT_N2_M03">Surfaces_Horti!$D$99</definedName>
    <definedName name="PROD_EXT_ARBRES_ARBUSTES_EN_POT_N2_M04">Surfaces_Horti!$E$99</definedName>
    <definedName name="PROD_EXT_ARBRES_ARBUSTES_EN_POT_N2_M05">Surfaces_Horti!$F$99</definedName>
    <definedName name="PROD_EXT_ARBRES_ARBUSTES_EN_POT_N2_M06">Surfaces_Horti!$G$99</definedName>
    <definedName name="PROD_EXT_ARBRES_ARBUSTES_EN_POT_N2_M07">Surfaces_Horti!$H$99</definedName>
    <definedName name="PROD_EXT_ARBRES_ARBUSTES_EN_POT_N2_M08">Surfaces_Horti!$I$99</definedName>
    <definedName name="PROD_EXT_ARBRES_ARBUSTES_EN_POT_N2_M09">Surfaces_Horti!$J$99</definedName>
    <definedName name="PROD_EXT_ARBRES_ARBUSTES_EN_POT_N2_M10">Surfaces_Horti!$K$99</definedName>
    <definedName name="PROD_EXT_ARBRES_ARBUSTES_EN_POT_N2_M11">Surfaces_Horti!$L$99</definedName>
    <definedName name="PROD_EXT_ARBRES_ARBUSTES_EN_POT_N2_M12">Surfaces_Horti!$M$99</definedName>
    <definedName name="PROD_EXT_ARBRES_ARBUSTES_EN_POT_N2_MOY">Surfaces_Horti!$N$99</definedName>
    <definedName name="PROD_EXT_ARBRES_PLEINE_TERRE_N_M01">Surfaces_Horti!$B$28</definedName>
    <definedName name="PROD_EXT_ARBRES_PLEINE_TERRE_N_M02">Surfaces_Horti!$C$28</definedName>
    <definedName name="PROD_EXT_ARBRES_PLEINE_TERRE_N_M03">Surfaces_Horti!$D$28</definedName>
    <definedName name="PROD_EXT_ARBRES_PLEINE_TERRE_N_M04">Surfaces_Horti!$E$28</definedName>
    <definedName name="PROD_EXT_ARBRES_PLEINE_TERRE_N_M05">Surfaces_Horti!$F$28</definedName>
    <definedName name="PROD_EXT_ARBRES_PLEINE_TERRE_N_M06">Surfaces_Horti!$G$28</definedName>
    <definedName name="PROD_EXT_ARBRES_PLEINE_TERRE_N_M07">Surfaces_Horti!$H$28</definedName>
    <definedName name="PROD_EXT_ARBRES_PLEINE_TERRE_N_M08">Surfaces_Horti!$I$28</definedName>
    <definedName name="PROD_EXT_ARBRES_PLEINE_TERRE_N_M09">Surfaces_Horti!$J$28</definedName>
    <definedName name="PROD_EXT_ARBRES_PLEINE_TERRE_N_M10">Surfaces_Horti!$K$28</definedName>
    <definedName name="PROD_EXT_ARBRES_PLEINE_TERRE_N_M11">Surfaces_Horti!$L$28</definedName>
    <definedName name="PROD_EXT_ARBRES_PLEINE_TERRE_N_M12">Surfaces_Horti!$M$28</definedName>
    <definedName name="PROD_EXT_ARBRES_PLEINE_TERRE_N_MOY">Surfaces_Horti!$N$28</definedName>
    <definedName name="PROD_EXT_ARBRES_PLEINE_TERRE_N1_M01">Surfaces_Horti!$B$65</definedName>
    <definedName name="PROD_EXT_ARBRES_PLEINE_TERRE_N1_M02">Surfaces_Horti!$C$65</definedName>
    <definedName name="PROD_EXT_ARBRES_PLEINE_TERRE_N1_M03">Surfaces_Horti!$D$65</definedName>
    <definedName name="PROD_EXT_ARBRES_PLEINE_TERRE_N1_M04">Surfaces_Horti!$E$65</definedName>
    <definedName name="PROD_EXT_ARBRES_PLEINE_TERRE_N1_M05">Surfaces_Horti!$F$65</definedName>
    <definedName name="PROD_EXT_ARBRES_PLEINE_TERRE_N1_M06">Surfaces_Horti!$G$65</definedName>
    <definedName name="PROD_EXT_ARBRES_PLEINE_TERRE_N1_M07">Surfaces_Horti!$H$65</definedName>
    <definedName name="PROD_EXT_ARBRES_PLEINE_TERRE_N1_M08">Surfaces_Horti!$I$65</definedName>
    <definedName name="PROD_EXT_ARBRES_PLEINE_TERRE_N1_M09">Surfaces_Horti!$J$65</definedName>
    <definedName name="PROD_EXT_ARBRES_PLEINE_TERRE_N1_M10">Surfaces_Horti!$K$65</definedName>
    <definedName name="PROD_EXT_ARBRES_PLEINE_TERRE_N1_M11">Surfaces_Horti!$L$65</definedName>
    <definedName name="PROD_EXT_ARBRES_PLEINE_TERRE_N1_M12">Surfaces_Horti!$M$65</definedName>
    <definedName name="PROD_EXT_ARBRES_PLEINE_TERRE_N1_MOY">Surfaces_Horti!$N$65</definedName>
    <definedName name="PROD_EXT_ARBRES_PLEINE_TERRE_N2_M01">Surfaces_Horti!$B$102</definedName>
    <definedName name="PROD_EXT_ARBRES_PLEINE_TERRE_N2_M02">Surfaces_Horti!$C$102</definedName>
    <definedName name="PROD_EXT_ARBRES_PLEINE_TERRE_N2_M03">Surfaces_Horti!$D$102</definedName>
    <definedName name="PROD_EXT_ARBRES_PLEINE_TERRE_N2_M04">Surfaces_Horti!$E$102</definedName>
    <definedName name="PROD_EXT_ARBRES_PLEINE_TERRE_N2_M05">Surfaces_Horti!$F$102</definedName>
    <definedName name="PROD_EXT_ARBRES_PLEINE_TERRE_N2_M06">Surfaces_Horti!$G$102</definedName>
    <definedName name="PROD_EXT_ARBRES_PLEINE_TERRE_N2_M07">Surfaces_Horti!$H$102</definedName>
    <definedName name="PROD_EXT_ARBRES_PLEINE_TERRE_N2_M08">Surfaces_Horti!$I$102</definedName>
    <definedName name="PROD_EXT_ARBRES_PLEINE_TERRE_N2_M09">Surfaces_Horti!$J$102</definedName>
    <definedName name="PROD_EXT_ARBRES_PLEINE_TERRE_N2_M10">Surfaces_Horti!$K$102</definedName>
    <definedName name="PROD_EXT_ARBRES_PLEINE_TERRE_N2_M11">Surfaces_Horti!$L$102</definedName>
    <definedName name="PROD_EXT_ARBRES_PLEINE_TERRE_N2_M12">Surfaces_Horti!$M$102</definedName>
    <definedName name="PROD_EXT_ARBRES_PLEINE_TERRE_N2_MOY">Surfaces_Horti!$N$102</definedName>
    <definedName name="PROD_EXT_AUTRES_ARBRES_EN_POT_N_M01">Surfaces_Horti!$B$26</definedName>
    <definedName name="PROD_EXT_AUTRES_ARBRES_EN_POT_N_M02">Surfaces_Horti!$C$26</definedName>
    <definedName name="PROD_EXT_AUTRES_ARBRES_EN_POT_N_M03">Surfaces_Horti!$D$26</definedName>
    <definedName name="PROD_EXT_AUTRES_ARBRES_EN_POT_N_M04">Surfaces_Horti!$E$26</definedName>
    <definedName name="PROD_EXT_AUTRES_ARBRES_EN_POT_N_M05">Surfaces_Horti!$F$26</definedName>
    <definedName name="PROD_EXT_AUTRES_ARBRES_EN_POT_N_M06">Surfaces_Horti!$G$26</definedName>
    <definedName name="PROD_EXT_AUTRES_ARBRES_EN_POT_N_M07">Surfaces_Horti!$H$26</definedName>
    <definedName name="PROD_EXT_AUTRES_ARBRES_EN_POT_N_M08">Surfaces_Horti!$I$26</definedName>
    <definedName name="PROD_EXT_AUTRES_ARBRES_EN_POT_N_M09">Surfaces_Horti!$J$26</definedName>
    <definedName name="PROD_EXT_AUTRES_ARBRES_EN_POT_N_M10">Surfaces_Horti!$K$26</definedName>
    <definedName name="PROD_EXT_AUTRES_ARBRES_EN_POT_N_M11">Surfaces_Horti!$L$26</definedName>
    <definedName name="PROD_EXT_AUTRES_ARBRES_EN_POT_N_M12">Surfaces_Horti!$M$26</definedName>
    <definedName name="PROD_EXT_AUTRES_ARBRES_EN_POT_N_MOY">Surfaces_Horti!$N$26</definedName>
    <definedName name="PROD_EXT_AUTRES_ARBRES_EN_POT_N1_M01">Surfaces_Horti!$B$63</definedName>
    <definedName name="PROD_EXT_AUTRES_ARBRES_EN_POT_N1_M02">Surfaces_Horti!$C$63</definedName>
    <definedName name="PROD_EXT_AUTRES_ARBRES_EN_POT_N1_M03">Surfaces_Horti!$D$63</definedName>
    <definedName name="PROD_EXT_AUTRES_ARBRES_EN_POT_N1_M04">Surfaces_Horti!$E$63</definedName>
    <definedName name="PROD_EXT_AUTRES_ARBRES_EN_POT_N1_M05">Surfaces_Horti!$F$63</definedName>
    <definedName name="PROD_EXT_AUTRES_ARBRES_EN_POT_N1_M06">Surfaces_Horti!$G$63</definedName>
    <definedName name="PROD_EXT_AUTRES_ARBRES_EN_POT_N1_M07">Surfaces_Horti!$H$63</definedName>
    <definedName name="PROD_EXT_AUTRES_ARBRES_EN_POT_N1_M08">Surfaces_Horti!$I$63</definedName>
    <definedName name="PROD_EXT_AUTRES_ARBRES_EN_POT_N1_M09">Surfaces_Horti!$J$63</definedName>
    <definedName name="PROD_EXT_AUTRES_ARBRES_EN_POT_N1_M10">Surfaces_Horti!$K$63</definedName>
    <definedName name="PROD_EXT_AUTRES_ARBRES_EN_POT_N1_M11">Surfaces_Horti!$L$63</definedName>
    <definedName name="PROD_EXT_AUTRES_ARBRES_EN_POT_N1_M12">Surfaces_Horti!$M$63</definedName>
    <definedName name="PROD_EXT_AUTRES_ARBRES_EN_POT_N1_MOY">Surfaces_Horti!$N$63</definedName>
    <definedName name="PROD_EXT_AUTRES_ARBRES_EN_POT_N2_M01">Surfaces_Horti!$B$100</definedName>
    <definedName name="PROD_EXT_AUTRES_ARBRES_EN_POT_N2_M02">Surfaces_Horti!$C$100</definedName>
    <definedName name="PROD_EXT_AUTRES_ARBRES_EN_POT_N2_M03">Surfaces_Horti!$D$100</definedName>
    <definedName name="PROD_EXT_AUTRES_ARBRES_EN_POT_N2_M04">Surfaces_Horti!$E$100</definedName>
    <definedName name="PROD_EXT_AUTRES_ARBRES_EN_POT_N2_M05">Surfaces_Horti!$F$100</definedName>
    <definedName name="PROD_EXT_AUTRES_ARBRES_EN_POT_N2_M06">Surfaces_Horti!$G$100</definedName>
    <definedName name="PROD_EXT_AUTRES_ARBRES_EN_POT_N2_M07">Surfaces_Horti!$H$100</definedName>
    <definedName name="PROD_EXT_AUTRES_ARBRES_EN_POT_N2_M08">Surfaces_Horti!$I$100</definedName>
    <definedName name="PROD_EXT_AUTRES_ARBRES_EN_POT_N2_M09">Surfaces_Horti!$J$100</definedName>
    <definedName name="PROD_EXT_AUTRES_ARBRES_EN_POT_N2_M10">Surfaces_Horti!$K$100</definedName>
    <definedName name="PROD_EXT_AUTRES_ARBRES_EN_POT_N2_M11">Surfaces_Horti!$L$100</definedName>
    <definedName name="PROD_EXT_AUTRES_ARBRES_EN_POT_N2_M12">Surfaces_Horti!$M$100</definedName>
    <definedName name="PROD_EXT_AUTRES_ARBRES_EN_POT_N2_MOY">Surfaces_Horti!$N$100</definedName>
    <definedName name="PROD_EXT_AUTRES_CULTURES_PLEINE_TERRE_N_M01">Surfaces_Horti!$B$33</definedName>
    <definedName name="PROD_EXT_AUTRES_CULTURES_PLEINE_TERRE_N_M02">Surfaces_Horti!$C$33</definedName>
    <definedName name="PROD_EXT_AUTRES_CULTURES_PLEINE_TERRE_N_M03">Surfaces_Horti!$D$33</definedName>
    <definedName name="PROD_EXT_AUTRES_CULTURES_PLEINE_TERRE_N_M04">Surfaces_Horti!$E$33</definedName>
    <definedName name="PROD_EXT_AUTRES_CULTURES_PLEINE_TERRE_N_M05">Surfaces_Horti!$F$33</definedName>
    <definedName name="PROD_EXT_AUTRES_CULTURES_PLEINE_TERRE_N_M06">Surfaces_Horti!$G$33</definedName>
    <definedName name="PROD_EXT_AUTRES_CULTURES_PLEINE_TERRE_N_M07">Surfaces_Horti!$H$33</definedName>
    <definedName name="PROD_EXT_AUTRES_CULTURES_PLEINE_TERRE_N_M08">Surfaces_Horti!$I$33</definedName>
    <definedName name="PROD_EXT_AUTRES_CULTURES_PLEINE_TERRE_N_M09">Surfaces_Horti!$J$33</definedName>
    <definedName name="PROD_EXT_AUTRES_CULTURES_PLEINE_TERRE_N_M10">Surfaces_Horti!$K$33</definedName>
    <definedName name="PROD_EXT_AUTRES_CULTURES_PLEINE_TERRE_N_M11">Surfaces_Horti!$L$33</definedName>
    <definedName name="PROD_EXT_AUTRES_CULTURES_PLEINE_TERRE_N_M12">Surfaces_Horti!$M$33</definedName>
    <definedName name="PROD_EXT_AUTRES_CULTURES_PLEINE_TERRE_N_MOY">Surfaces_Horti!$N$33</definedName>
    <definedName name="PROD_EXT_AUTRES_CULTURES_PLEINE_TERRE_N1_M01">Surfaces_Horti!$B$70</definedName>
    <definedName name="PROD_EXT_AUTRES_CULTURES_PLEINE_TERRE_N1_M02">Surfaces_Horti!$C$70</definedName>
    <definedName name="PROD_EXT_AUTRES_CULTURES_PLEINE_TERRE_N1_M03">Surfaces_Horti!$D$70</definedName>
    <definedName name="PROD_EXT_AUTRES_CULTURES_PLEINE_TERRE_N1_M04">Surfaces_Horti!$E$70</definedName>
    <definedName name="PROD_EXT_AUTRES_CULTURES_PLEINE_TERRE_N1_M05">Surfaces_Horti!$F$70</definedName>
    <definedName name="PROD_EXT_AUTRES_CULTURES_PLEINE_TERRE_N1_M06">Surfaces_Horti!$G$70</definedName>
    <definedName name="PROD_EXT_AUTRES_CULTURES_PLEINE_TERRE_N1_M07">Surfaces_Horti!$H$70</definedName>
    <definedName name="PROD_EXT_AUTRES_CULTURES_PLEINE_TERRE_N1_M08">Surfaces_Horti!$I$70</definedName>
    <definedName name="PROD_EXT_AUTRES_CULTURES_PLEINE_TERRE_N1_M09">Surfaces_Horti!$J$70</definedName>
    <definedName name="PROD_EXT_AUTRES_CULTURES_PLEINE_TERRE_N1_M10">Surfaces_Horti!$K$70</definedName>
    <definedName name="PROD_EXT_AUTRES_CULTURES_PLEINE_TERRE_N1_M11">Surfaces_Horti!$L$70</definedName>
    <definedName name="PROD_EXT_AUTRES_CULTURES_PLEINE_TERRE_N1_M12">Surfaces_Horti!$M$70</definedName>
    <definedName name="PROD_EXT_AUTRES_CULTURES_PLEINE_TERRE_N1_MOY">Surfaces_Horti!$N$70</definedName>
    <definedName name="PROD_EXT_AUTRES_CULTURES_PLEINE_TERRE_N2_M01">Surfaces_Horti!$B$107</definedName>
    <definedName name="PROD_EXT_AUTRES_CULTURES_PLEINE_TERRE_N2_M02">Surfaces_Horti!$C$107</definedName>
    <definedName name="PROD_EXT_AUTRES_CULTURES_PLEINE_TERRE_N2_M03">Surfaces_Horti!$D$107</definedName>
    <definedName name="PROD_EXT_AUTRES_CULTURES_PLEINE_TERRE_N2_M04">Surfaces_Horti!$E$107</definedName>
    <definedName name="PROD_EXT_AUTRES_CULTURES_PLEINE_TERRE_N2_M05">Surfaces_Horti!$F$107</definedName>
    <definedName name="PROD_EXT_AUTRES_CULTURES_PLEINE_TERRE_N2_M06">Surfaces_Horti!$G$107</definedName>
    <definedName name="PROD_EXT_AUTRES_CULTURES_PLEINE_TERRE_N2_M07">Surfaces_Horti!$H$107</definedName>
    <definedName name="PROD_EXT_AUTRES_CULTURES_PLEINE_TERRE_N2_M08">Surfaces_Horti!$I$107</definedName>
    <definedName name="PROD_EXT_AUTRES_CULTURES_PLEINE_TERRE_N2_M09">Surfaces_Horti!$J$107</definedName>
    <definedName name="PROD_EXT_AUTRES_CULTURES_PLEINE_TERRE_N2_M10">Surfaces_Horti!$K$107</definedName>
    <definedName name="PROD_EXT_AUTRES_CULTURES_PLEINE_TERRE_N2_M11">Surfaces_Horti!$L$107</definedName>
    <definedName name="PROD_EXT_AUTRES_CULTURES_PLEINE_TERRE_N2_M12">Surfaces_Horti!$M$107</definedName>
    <definedName name="PROD_EXT_AUTRES_CULTURES_PLEINE_TERRE_N2_MOY">Surfaces_Horti!$N$107</definedName>
    <definedName name="PROD_EXT_BULBES_PLEINE_TERRE_N_M01">Surfaces_Horti!$B$32</definedName>
    <definedName name="PROD_EXT_BULBES_PLEINE_TERRE_N_M02">Surfaces_Horti!$C$32</definedName>
    <definedName name="PROD_EXT_BULBES_PLEINE_TERRE_N_M03">Surfaces_Horti!$D$32</definedName>
    <definedName name="PROD_EXT_BULBES_PLEINE_TERRE_N_M04">Surfaces_Horti!$E$32</definedName>
    <definedName name="PROD_EXT_BULBES_PLEINE_TERRE_N_M05">Surfaces_Horti!$F$32</definedName>
    <definedName name="PROD_EXT_BULBES_PLEINE_TERRE_N_M06">Surfaces_Horti!$G$32</definedName>
    <definedName name="PROD_EXT_BULBES_PLEINE_TERRE_N_M07">Surfaces_Horti!$H$32</definedName>
    <definedName name="PROD_EXT_BULBES_PLEINE_TERRE_N_M08">Surfaces_Horti!$I$32</definedName>
    <definedName name="PROD_EXT_BULBES_PLEINE_TERRE_N_M09">Surfaces_Horti!$J$32</definedName>
    <definedName name="PROD_EXT_BULBES_PLEINE_TERRE_N_M10">Surfaces_Horti!$K$32</definedName>
    <definedName name="PROD_EXT_BULBES_PLEINE_TERRE_N_M11">Surfaces_Horti!$L$32</definedName>
    <definedName name="PROD_EXT_BULBES_PLEINE_TERRE_N_M12">Surfaces_Horti!$M$32</definedName>
    <definedName name="PROD_EXT_BULBES_PLEINE_TERRE_N_MOY">Surfaces_Horti!$N$32</definedName>
    <definedName name="PROD_EXT_BULBES_PLEINE_TERRE_N1_M01">Surfaces_Horti!$B$69</definedName>
    <definedName name="PROD_EXT_BULBES_PLEINE_TERRE_N1_M02">Surfaces_Horti!$C$69</definedName>
    <definedName name="PROD_EXT_BULBES_PLEINE_TERRE_N1_M03">Surfaces_Horti!$D$69</definedName>
    <definedName name="PROD_EXT_BULBES_PLEINE_TERRE_N1_M04">Surfaces_Horti!$E$69</definedName>
    <definedName name="PROD_EXT_BULBES_PLEINE_TERRE_N1_M05">Surfaces_Horti!$F$69</definedName>
    <definedName name="PROD_EXT_BULBES_PLEINE_TERRE_N1_M06">Surfaces_Horti!$G$69</definedName>
    <definedName name="PROD_EXT_BULBES_PLEINE_TERRE_N1_M07">Surfaces_Horti!$H$69</definedName>
    <definedName name="PROD_EXT_BULBES_PLEINE_TERRE_N1_M08">Surfaces_Horti!$I$69</definedName>
    <definedName name="PROD_EXT_BULBES_PLEINE_TERRE_N1_M09">Surfaces_Horti!$J$69</definedName>
    <definedName name="PROD_EXT_BULBES_PLEINE_TERRE_N1_M10">Surfaces_Horti!$K$69</definedName>
    <definedName name="PROD_EXT_BULBES_PLEINE_TERRE_N1_M11">Surfaces_Horti!$L$69</definedName>
    <definedName name="PROD_EXT_BULBES_PLEINE_TERRE_N1_M12">Surfaces_Horti!$M$69</definedName>
    <definedName name="PROD_EXT_BULBES_PLEINE_TERRE_N1_MOY">Surfaces_Horti!$N$69</definedName>
    <definedName name="PROD_EXT_BULBES_PLEINE_TERRE_N2_M01">Surfaces_Horti!$B$106</definedName>
    <definedName name="PROD_EXT_BULBES_PLEINE_TERRE_N2_M02">Surfaces_Horti!$C$106</definedName>
    <definedName name="PROD_EXT_BULBES_PLEINE_TERRE_N2_M03">Surfaces_Horti!$D$106</definedName>
    <definedName name="PROD_EXT_BULBES_PLEINE_TERRE_N2_M04">Surfaces_Horti!$E$106</definedName>
    <definedName name="PROD_EXT_BULBES_PLEINE_TERRE_N2_M05">Surfaces_Horti!$F$106</definedName>
    <definedName name="PROD_EXT_BULBES_PLEINE_TERRE_N2_M06">Surfaces_Horti!$G$106</definedName>
    <definedName name="PROD_EXT_BULBES_PLEINE_TERRE_N2_M07">Surfaces_Horti!$H$106</definedName>
    <definedName name="PROD_EXT_BULBES_PLEINE_TERRE_N2_M08">Surfaces_Horti!$I$106</definedName>
    <definedName name="PROD_EXT_BULBES_PLEINE_TERRE_N2_M09">Surfaces_Horti!$J$106</definedName>
    <definedName name="PROD_EXT_BULBES_PLEINE_TERRE_N2_M10">Surfaces_Horti!$K$106</definedName>
    <definedName name="PROD_EXT_BULBES_PLEINE_TERRE_N2_M11">Surfaces_Horti!$L$106</definedName>
    <definedName name="PROD_EXT_BULBES_PLEINE_TERRE_N2_M12">Surfaces_Horti!$M$106</definedName>
    <definedName name="PROD_EXT_BULBES_PLEINE_TERRE_N2_MOY">Surfaces_Horti!$N$106</definedName>
    <definedName name="PROD_EXT_CHRYSANTHEME_EN_POT_N_M01">Surfaces_Horti!$B$23</definedName>
    <definedName name="PROD_EXT_CHRYSANTHEME_EN_POT_N_M02">Surfaces_Horti!$C$23</definedName>
    <definedName name="PROD_EXT_CHRYSANTHEME_EN_POT_N_M03">Surfaces_Horti!$D$23</definedName>
    <definedName name="PROD_EXT_CHRYSANTHEME_EN_POT_N_M04">Surfaces_Horti!$E$23</definedName>
    <definedName name="PROD_EXT_CHRYSANTHEME_EN_POT_N_M05">Surfaces_Horti!$F$23</definedName>
    <definedName name="PROD_EXT_CHRYSANTHEME_EN_POT_N_M06">Surfaces_Horti!$G$23</definedName>
    <definedName name="PROD_EXT_CHRYSANTHEME_EN_POT_N_M07">Surfaces_Horti!$H$23</definedName>
    <definedName name="PROD_EXT_CHRYSANTHEME_EN_POT_N_M08">Surfaces_Horti!$I$23</definedName>
    <definedName name="PROD_EXT_CHRYSANTHEME_EN_POT_N_M09">Surfaces_Horti!$J$23</definedName>
    <definedName name="PROD_EXT_CHRYSANTHEME_EN_POT_N_M10">Surfaces_Horti!$K$23</definedName>
    <definedName name="PROD_EXT_CHRYSANTHEME_EN_POT_N_M11">Surfaces_Horti!$L$23</definedName>
    <definedName name="PROD_EXT_CHRYSANTHEME_EN_POT_N_M12">Surfaces_Horti!$M$23</definedName>
    <definedName name="PROD_EXT_CHRYSANTHEME_EN_POT_N_MOY">Surfaces_Horti!$N$23</definedName>
    <definedName name="PROD_EXT_CHRYSANTHEME_EN_POT_N1_M01">Surfaces_Horti!$B$60</definedName>
    <definedName name="PROD_EXT_CHRYSANTHEME_EN_POT_N1_M02">Surfaces_Horti!$C$60</definedName>
    <definedName name="PROD_EXT_CHRYSANTHEME_EN_POT_N1_M03">Surfaces_Horti!$D$60</definedName>
    <definedName name="PROD_EXT_CHRYSANTHEME_EN_POT_N1_M04">Surfaces_Horti!$E$60</definedName>
    <definedName name="PROD_EXT_CHRYSANTHEME_EN_POT_N1_M05">Surfaces_Horti!$F$60</definedName>
    <definedName name="PROD_EXT_CHRYSANTHEME_EN_POT_N1_M06">Surfaces_Horti!$G$60</definedName>
    <definedName name="PROD_EXT_CHRYSANTHEME_EN_POT_N1_M07">Surfaces_Horti!$H$60</definedName>
    <definedName name="PROD_EXT_CHRYSANTHEME_EN_POT_N1_M08">Surfaces_Horti!$I$60</definedName>
    <definedName name="PROD_EXT_CHRYSANTHEME_EN_POT_N1_M09">Surfaces_Horti!$J$60</definedName>
    <definedName name="PROD_EXT_CHRYSANTHEME_EN_POT_N1_M10">Surfaces_Horti!$K$60</definedName>
    <definedName name="PROD_EXT_CHRYSANTHEME_EN_POT_N1_M11">Surfaces_Horti!$L$60</definedName>
    <definedName name="PROD_EXT_CHRYSANTHEME_EN_POT_N1_M12">Surfaces_Horti!$M$60</definedName>
    <definedName name="PROD_EXT_CHRYSANTHEME_EN_POT_N1_MOY">Surfaces_Horti!$N$60</definedName>
    <definedName name="PROD_EXT_CHRYSANTHEME_EN_POT_N2_M01">Surfaces_Horti!$B$97</definedName>
    <definedName name="PROD_EXT_CHRYSANTHEME_EN_POT_N2_M02">Surfaces_Horti!$C$97</definedName>
    <definedName name="PROD_EXT_CHRYSANTHEME_EN_POT_N2_M03">Surfaces_Horti!$D$97</definedName>
    <definedName name="PROD_EXT_CHRYSANTHEME_EN_POT_N2_M04">Surfaces_Horti!$E$97</definedName>
    <definedName name="PROD_EXT_CHRYSANTHEME_EN_POT_N2_M05">Surfaces_Horti!$F$97</definedName>
    <definedName name="PROD_EXT_CHRYSANTHEME_EN_POT_N2_M06">Surfaces_Horti!$G$97</definedName>
    <definedName name="PROD_EXT_CHRYSANTHEME_EN_POT_N2_M07">Surfaces_Horti!$H$97</definedName>
    <definedName name="PROD_EXT_CHRYSANTHEME_EN_POT_N2_M08">Surfaces_Horti!$I$97</definedName>
    <definedName name="PROD_EXT_CHRYSANTHEME_EN_POT_N2_M09">Surfaces_Horti!$J$97</definedName>
    <definedName name="PROD_EXT_CHRYSANTHEME_EN_POT_N2_M10">Surfaces_Horti!$K$97</definedName>
    <definedName name="PROD_EXT_CHRYSANTHEME_EN_POT_N2_M11">Surfaces_Horti!$L$97</definedName>
    <definedName name="PROD_EXT_CHRYSANTHEME_EN_POT_N2_M12">Surfaces_Horti!$M$97</definedName>
    <definedName name="PROD_EXT_CHRYSANTHEME_EN_POT_N2_MOY">Surfaces_Horti!$N$97</definedName>
    <definedName name="PROD_EXT_FLEURS_ETE_PLEINE_TERRE_N_M01">Surfaces_Horti!$B$31</definedName>
    <definedName name="PROD_EXT_FLEURS_ETE_PLEINE_TERRE_N_M02">Surfaces_Horti!$C$31</definedName>
    <definedName name="PROD_EXT_FLEURS_ETE_PLEINE_TERRE_N_M03">Surfaces_Horti!$D$31</definedName>
    <definedName name="PROD_EXT_FLEURS_ETE_PLEINE_TERRE_N_M04">Surfaces_Horti!$E$31</definedName>
    <definedName name="PROD_EXT_FLEURS_ETE_PLEINE_TERRE_N_M05">Surfaces_Horti!$F$31</definedName>
    <definedName name="PROD_EXT_FLEURS_ETE_PLEINE_TERRE_N_M06">Surfaces_Horti!$G$31</definedName>
    <definedName name="PROD_EXT_FLEURS_ETE_PLEINE_TERRE_N_M07">Surfaces_Horti!$H$31</definedName>
    <definedName name="PROD_EXT_FLEURS_ETE_PLEINE_TERRE_N_M08">Surfaces_Horti!$I$31</definedName>
    <definedName name="PROD_EXT_FLEURS_ETE_PLEINE_TERRE_N_M09">Surfaces_Horti!$J$31</definedName>
    <definedName name="PROD_EXT_FLEURS_ETE_PLEINE_TERRE_N_M10">Surfaces_Horti!$K$31</definedName>
    <definedName name="PROD_EXT_FLEURS_ETE_PLEINE_TERRE_N_M11">Surfaces_Horti!$L$31</definedName>
    <definedName name="PROD_EXT_FLEURS_ETE_PLEINE_TERRE_N_M12">Surfaces_Horti!$M$31</definedName>
    <definedName name="PROD_EXT_FLEURS_ETE_PLEINE_TERRE_N_MOY">Surfaces_Horti!$N$31</definedName>
    <definedName name="PROD_EXT_FLEURS_ETE_PLEINE_TERRE_N1_M01">Surfaces_Horti!$B$68</definedName>
    <definedName name="PROD_EXT_FLEURS_ETE_PLEINE_TERRE_N1_M02">Surfaces_Horti!$C$68</definedName>
    <definedName name="PROD_EXT_FLEURS_ETE_PLEINE_TERRE_N1_M03">Surfaces_Horti!$D$68</definedName>
    <definedName name="PROD_EXT_FLEURS_ETE_PLEINE_TERRE_N1_M04">Surfaces_Horti!$E$68</definedName>
    <definedName name="PROD_EXT_FLEURS_ETE_PLEINE_TERRE_N1_M05">Surfaces_Horti!$F$68</definedName>
    <definedName name="PROD_EXT_FLEURS_ETE_PLEINE_TERRE_N1_M06">Surfaces_Horti!$G$68</definedName>
    <definedName name="PROD_EXT_FLEURS_ETE_PLEINE_TERRE_N1_M07">Surfaces_Horti!$H$68</definedName>
    <definedName name="PROD_EXT_FLEURS_ETE_PLEINE_TERRE_N1_M08">Surfaces_Horti!$I$68</definedName>
    <definedName name="PROD_EXT_FLEURS_ETE_PLEINE_TERRE_N1_M09">Surfaces_Horti!$J$68</definedName>
    <definedName name="PROD_EXT_FLEURS_ETE_PLEINE_TERRE_N1_M10">Surfaces_Horti!$K$68</definedName>
    <definedName name="PROD_EXT_FLEURS_ETE_PLEINE_TERRE_N1_M11">Surfaces_Horti!$L$68</definedName>
    <definedName name="PROD_EXT_FLEURS_ETE_PLEINE_TERRE_N1_M12">Surfaces_Horti!$M$68</definedName>
    <definedName name="PROD_EXT_FLEURS_ETE_PLEINE_TERRE_N1_MOY">Surfaces_Horti!$N$68</definedName>
    <definedName name="PROD_EXT_FLEURS_ETE_PLEINE_TERRE_N2_M01">Surfaces_Horti!$B$105</definedName>
    <definedName name="PROD_EXT_FLEURS_ETE_PLEINE_TERRE_N2_M02">Surfaces_Horti!$C$105</definedName>
    <definedName name="PROD_EXT_FLEURS_ETE_PLEINE_TERRE_N2_M03">Surfaces_Horti!$D$105</definedName>
    <definedName name="PROD_EXT_FLEURS_ETE_PLEINE_TERRE_N2_M04">Surfaces_Horti!$E$105</definedName>
    <definedName name="PROD_EXT_FLEURS_ETE_PLEINE_TERRE_N2_M05">Surfaces_Horti!$F$105</definedName>
    <definedName name="PROD_EXT_FLEURS_ETE_PLEINE_TERRE_N2_M06">Surfaces_Horti!$G$105</definedName>
    <definedName name="PROD_EXT_FLEURS_ETE_PLEINE_TERRE_N2_M07">Surfaces_Horti!$H$105</definedName>
    <definedName name="PROD_EXT_FLEURS_ETE_PLEINE_TERRE_N2_M08">Surfaces_Horti!$I$105</definedName>
    <definedName name="PROD_EXT_FLEURS_ETE_PLEINE_TERRE_N2_M09">Surfaces_Horti!$J$105</definedName>
    <definedName name="PROD_EXT_FLEURS_ETE_PLEINE_TERRE_N2_M10">Surfaces_Horti!$K$105</definedName>
    <definedName name="PROD_EXT_FLEURS_ETE_PLEINE_TERRE_N2_M11">Surfaces_Horti!$L$105</definedName>
    <definedName name="PROD_EXT_FLEURS_ETE_PLEINE_TERRE_N2_M12">Surfaces_Horti!$M$105</definedName>
    <definedName name="PROD_EXT_FLEURS_ETE_PLEINE_TERRE_N2_MOY">Surfaces_Horti!$N$105</definedName>
    <definedName name="PROD_EXT_FRUITIERS_PLEINE_TERRE_N_M01">Surfaces_Horti!$B$29</definedName>
    <definedName name="PROD_EXT_FRUITIERS_PLEINE_TERRE_N_M02">Surfaces_Horti!$C$29</definedName>
    <definedName name="PROD_EXT_FRUITIERS_PLEINE_TERRE_N_M03">Surfaces_Horti!$D$29</definedName>
    <definedName name="PROD_EXT_FRUITIERS_PLEINE_TERRE_N_M04">Surfaces_Horti!$E$29</definedName>
    <definedName name="PROD_EXT_FRUITIERS_PLEINE_TERRE_N_M05">Surfaces_Horti!$F$29</definedName>
    <definedName name="PROD_EXT_FRUITIERS_PLEINE_TERRE_N_M06">Surfaces_Horti!$G$29</definedName>
    <definedName name="PROD_EXT_FRUITIERS_PLEINE_TERRE_N_M07">Surfaces_Horti!$H$29</definedName>
    <definedName name="PROD_EXT_FRUITIERS_PLEINE_TERRE_N_M08">Surfaces_Horti!$I$29</definedName>
    <definedName name="PROD_EXT_FRUITIERS_PLEINE_TERRE_N_M09">Surfaces_Horti!$J$29</definedName>
    <definedName name="PROD_EXT_FRUITIERS_PLEINE_TERRE_N_M10">Surfaces_Horti!$K$29</definedName>
    <definedName name="PROD_EXT_FRUITIERS_PLEINE_TERRE_N_M11">Surfaces_Horti!$L$29</definedName>
    <definedName name="PROD_EXT_FRUITIERS_PLEINE_TERRE_N_M12">Surfaces_Horti!$M$29</definedName>
    <definedName name="PROD_EXT_FRUITIERS_PLEINE_TERRE_N_MOY">Surfaces_Horti!$N$29</definedName>
    <definedName name="PROD_EXT_FRUITIERS_PLEINE_TERRE_N1_M01">Surfaces_Horti!$B$66</definedName>
    <definedName name="PROD_EXT_FRUITIERS_PLEINE_TERRE_N1_M02">Surfaces_Horti!$C$66</definedName>
    <definedName name="PROD_EXT_FRUITIERS_PLEINE_TERRE_N1_M03">Surfaces_Horti!$D$66</definedName>
    <definedName name="PROD_EXT_FRUITIERS_PLEINE_TERRE_N1_M04">Surfaces_Horti!$E$66</definedName>
    <definedName name="PROD_EXT_FRUITIERS_PLEINE_TERRE_N1_M05">Surfaces_Horti!$F$66</definedName>
    <definedName name="PROD_EXT_FRUITIERS_PLEINE_TERRE_N1_M06">Surfaces_Horti!$G$66</definedName>
    <definedName name="PROD_EXT_FRUITIERS_PLEINE_TERRE_N1_M07">Surfaces_Horti!$H$66</definedName>
    <definedName name="PROD_EXT_FRUITIERS_PLEINE_TERRE_N1_M08">Surfaces_Horti!$I$66</definedName>
    <definedName name="PROD_EXT_FRUITIERS_PLEINE_TERRE_N1_M09">Surfaces_Horti!$J$66</definedName>
    <definedName name="PROD_EXT_FRUITIERS_PLEINE_TERRE_N1_M10">Surfaces_Horti!$K$66</definedName>
    <definedName name="PROD_EXT_FRUITIERS_PLEINE_TERRE_N1_M11">Surfaces_Horti!$L$66</definedName>
    <definedName name="PROD_EXT_FRUITIERS_PLEINE_TERRE_N1_M12">Surfaces_Horti!$M$66</definedName>
    <definedName name="PROD_EXT_FRUITIERS_PLEINE_TERRE_N1_MOY">Surfaces_Horti!$N$66</definedName>
    <definedName name="PROD_EXT_FRUITIERS_PLEINE_TERRE_N2_M01">Surfaces_Horti!$B$103</definedName>
    <definedName name="PROD_EXT_FRUITIERS_PLEINE_TERRE_N2_M02">Surfaces_Horti!$C$103</definedName>
    <definedName name="PROD_EXT_FRUITIERS_PLEINE_TERRE_N2_M03">Surfaces_Horti!$D$103</definedName>
    <definedName name="PROD_EXT_FRUITIERS_PLEINE_TERRE_N2_M04">Surfaces_Horti!$E$103</definedName>
    <definedName name="PROD_EXT_FRUITIERS_PLEINE_TERRE_N2_M05">Surfaces_Horti!$F$103</definedName>
    <definedName name="PROD_EXT_FRUITIERS_PLEINE_TERRE_N2_M06">Surfaces_Horti!$G$103</definedName>
    <definedName name="PROD_EXT_FRUITIERS_PLEINE_TERRE_N2_M07">Surfaces_Horti!$H$103</definedName>
    <definedName name="PROD_EXT_FRUITIERS_PLEINE_TERRE_N2_M08">Surfaces_Horti!$I$103</definedName>
    <definedName name="PROD_EXT_FRUITIERS_PLEINE_TERRE_N2_M09">Surfaces_Horti!$J$103</definedName>
    <definedName name="PROD_EXT_FRUITIERS_PLEINE_TERRE_N2_M10">Surfaces_Horti!$K$103</definedName>
    <definedName name="PROD_EXT_FRUITIERS_PLEINE_TERRE_N2_M11">Surfaces_Horti!$L$103</definedName>
    <definedName name="PROD_EXT_FRUITIERS_PLEINE_TERRE_N2_M12">Surfaces_Horti!$M$103</definedName>
    <definedName name="PROD_EXT_FRUITIERS_PLEINE_TERRE_N2_MOY">Surfaces_Horti!$N$103</definedName>
    <definedName name="PROD_EXT_PLANTES_EN_POT_N_M01">Surfaces_Horti!$B$24</definedName>
    <definedName name="PROD_EXT_PLANTES_EN_POT_N_M02">Surfaces_Horti!$C$24</definedName>
    <definedName name="PROD_EXT_PLANTES_EN_POT_N_M03">Surfaces_Horti!$D$24</definedName>
    <definedName name="PROD_EXT_PLANTES_EN_POT_N_M04">Surfaces_Horti!$E$24</definedName>
    <definedName name="PROD_EXT_PLANTES_EN_POT_N_M05">Surfaces_Horti!$F$24</definedName>
    <definedName name="PROD_EXT_PLANTES_EN_POT_N_M06">Surfaces_Horti!$G$24</definedName>
    <definedName name="PROD_EXT_PLANTES_EN_POT_N_M07">Surfaces_Horti!$H$24</definedName>
    <definedName name="PROD_EXT_PLANTES_EN_POT_N_M08">Surfaces_Horti!$I$24</definedName>
    <definedName name="PROD_EXT_PLANTES_EN_POT_N_M09">Surfaces_Horti!$J$24</definedName>
    <definedName name="PROD_EXT_PLANTES_EN_POT_N_M10">Surfaces_Horti!$K$24</definedName>
    <definedName name="PROD_EXT_PLANTES_EN_POT_N_M11">Surfaces_Horti!$L$24</definedName>
    <definedName name="PROD_EXT_PLANTES_EN_POT_N_M12">Surfaces_Horti!$M$24</definedName>
    <definedName name="PROD_EXT_PLANTES_EN_POT_N_MOY">Surfaces_Horti!$N$24</definedName>
    <definedName name="PROD_EXT_PLANTES_EN_POT_N1_M01">Surfaces_Horti!$B$61</definedName>
    <definedName name="PROD_EXT_PLANTES_EN_POT_N1_M02">Surfaces_Horti!$C$61</definedName>
    <definedName name="PROD_EXT_PLANTES_EN_POT_N1_M03">Surfaces_Horti!$D$61</definedName>
    <definedName name="PROD_EXT_PLANTES_EN_POT_N1_M04">Surfaces_Horti!$E$61</definedName>
    <definedName name="PROD_EXT_PLANTES_EN_POT_N1_M05">Surfaces_Horti!$F$61</definedName>
    <definedName name="PROD_EXT_PLANTES_EN_POT_N1_M06">Surfaces_Horti!$G$61</definedName>
    <definedName name="PROD_EXT_PLANTES_EN_POT_N1_M07">Surfaces_Horti!$H$61</definedName>
    <definedName name="PROD_EXT_PLANTES_EN_POT_N1_M08">Surfaces_Horti!$I$61</definedName>
    <definedName name="PROD_EXT_PLANTES_EN_POT_N1_M09">Surfaces_Horti!$J$61</definedName>
    <definedName name="PROD_EXT_PLANTES_EN_POT_N1_M10">Surfaces_Horti!$K$61</definedName>
    <definedName name="PROD_EXT_PLANTES_EN_POT_N1_M11">Surfaces_Horti!$L$61</definedName>
    <definedName name="PROD_EXT_PLANTES_EN_POT_N1_M12">Surfaces_Horti!$M$61</definedName>
    <definedName name="PROD_EXT_PLANTES_EN_POT_N1_MOY">Surfaces_Horti!$N$61</definedName>
    <definedName name="PROD_EXT_PLANTES_EN_POT_N2_M01">Surfaces_Horti!$B$98</definedName>
    <definedName name="PROD_EXT_PLANTES_EN_POT_N2_M02">Surfaces_Horti!$C$98</definedName>
    <definedName name="PROD_EXT_PLANTES_EN_POT_N2_M03">Surfaces_Horti!$D$98</definedName>
    <definedName name="PROD_EXT_PLANTES_EN_POT_N2_M04">Surfaces_Horti!$E$98</definedName>
    <definedName name="PROD_EXT_PLANTES_EN_POT_N2_M05">Surfaces_Horti!$F$98</definedName>
    <definedName name="PROD_EXT_PLANTES_EN_POT_N2_M06">Surfaces_Horti!$G$98</definedName>
    <definedName name="PROD_EXT_PLANTES_EN_POT_N2_M07">Surfaces_Horti!$H$98</definedName>
    <definedName name="PROD_EXT_PLANTES_EN_POT_N2_M08">Surfaces_Horti!$I$98</definedName>
    <definedName name="PROD_EXT_PLANTES_EN_POT_N2_M09">Surfaces_Horti!$J$98</definedName>
    <definedName name="PROD_EXT_PLANTES_EN_POT_N2_M10">Surfaces_Horti!$K$98</definedName>
    <definedName name="PROD_EXT_PLANTES_EN_POT_N2_M11">Surfaces_Horti!$L$98</definedName>
    <definedName name="PROD_EXT_PLANTES_EN_POT_N2_M12">Surfaces_Horti!$M$98</definedName>
    <definedName name="PROD_EXT_PLANTES_EN_POT_N2_MOY">Surfaces_Horti!$N$98</definedName>
    <definedName name="PROD_EXT_PLANTES_MED_EN_POT_N_M01">Surfaces_Horti!$B$27</definedName>
    <definedName name="PROD_EXT_PLANTES_MED_EN_POT_N_M02">Surfaces_Horti!$C$27</definedName>
    <definedName name="PROD_EXT_PLANTES_MED_EN_POT_N_M03">Surfaces_Horti!$D$27</definedName>
    <definedName name="PROD_EXT_PLANTES_MED_EN_POT_N_M04">Surfaces_Horti!$E$27</definedName>
    <definedName name="PROD_EXT_PLANTES_MED_EN_POT_N_M05">Surfaces_Horti!$F$27</definedName>
    <definedName name="PROD_EXT_PLANTES_MED_EN_POT_N_M06">Surfaces_Horti!$G$27</definedName>
    <definedName name="PROD_EXT_PLANTES_MED_EN_POT_N_M07">Surfaces_Horti!$H$27</definedName>
    <definedName name="PROD_EXT_PLANTES_MED_EN_POT_N_M08">Surfaces_Horti!$I$27</definedName>
    <definedName name="PROD_EXT_PLANTES_MED_EN_POT_N_M09">Surfaces_Horti!$J$27</definedName>
    <definedName name="PROD_EXT_PLANTES_MED_EN_POT_N_M10">Surfaces_Horti!$K$27</definedName>
    <definedName name="PROD_EXT_PLANTES_MED_EN_POT_N_M11">Surfaces_Horti!$L$27</definedName>
    <definedName name="PROD_EXT_PLANTES_MED_EN_POT_N_M12">Surfaces_Horti!$M$27</definedName>
    <definedName name="PROD_EXT_PLANTES_MED_EN_POT_N_MOY">Surfaces_Horti!$N$27</definedName>
    <definedName name="PROD_EXT_PLANTES_MED_EN_POT_N1_M01">Surfaces_Horti!$B$64</definedName>
    <definedName name="PROD_EXT_PLANTES_MED_EN_POT_N1_M02">Surfaces_Horti!$C$64</definedName>
    <definedName name="PROD_EXT_PLANTES_MED_EN_POT_N1_M03">Surfaces_Horti!$D$64</definedName>
    <definedName name="PROD_EXT_PLANTES_MED_EN_POT_N1_M04">Surfaces_Horti!$E$64</definedName>
    <definedName name="PROD_EXT_PLANTES_MED_EN_POT_N1_M05">Surfaces_Horti!$F$64</definedName>
    <definedName name="PROD_EXT_PLANTES_MED_EN_POT_N1_M06">Surfaces_Horti!$G$64</definedName>
    <definedName name="PROD_EXT_PLANTES_MED_EN_POT_N1_M07">Surfaces_Horti!$H$64</definedName>
    <definedName name="PROD_EXT_PLANTES_MED_EN_POT_N1_M08">Surfaces_Horti!$I$64</definedName>
    <definedName name="PROD_EXT_PLANTES_MED_EN_POT_N1_M09">Surfaces_Horti!$J$64</definedName>
    <definedName name="PROD_EXT_PLANTES_MED_EN_POT_N1_M10">Surfaces_Horti!$K$64</definedName>
    <definedName name="PROD_EXT_PLANTES_MED_EN_POT_N1_M11">Surfaces_Horti!$L$64</definedName>
    <definedName name="PROD_EXT_PLANTES_MED_EN_POT_N1_M12">Surfaces_Horti!$M$64</definedName>
    <definedName name="PROD_EXT_PLANTES_MED_EN_POT_N1_MOY">Surfaces_Horti!$N$64</definedName>
    <definedName name="PROD_EXT_PLANTES_MED_EN_POT_N2_M01">Surfaces_Horti!$B$101</definedName>
    <definedName name="PROD_EXT_PLANTES_MED_EN_POT_N2_M02">Surfaces_Horti!$C$101</definedName>
    <definedName name="PROD_EXT_PLANTES_MED_EN_POT_N2_M03">Surfaces_Horti!$D$101</definedName>
    <definedName name="PROD_EXT_PLANTES_MED_EN_POT_N2_M04">Surfaces_Horti!$E$101</definedName>
    <definedName name="PROD_EXT_PLANTES_MED_EN_POT_N2_M05">Surfaces_Horti!$F$101</definedName>
    <definedName name="PROD_EXT_PLANTES_MED_EN_POT_N2_M06">Surfaces_Horti!$G$101</definedName>
    <definedName name="PROD_EXT_PLANTES_MED_EN_POT_N2_M07">Surfaces_Horti!$H$101</definedName>
    <definedName name="PROD_EXT_PLANTES_MED_EN_POT_N2_M08">Surfaces_Horti!$I$101</definedName>
    <definedName name="PROD_EXT_PLANTES_MED_EN_POT_N2_M09">Surfaces_Horti!$J$101</definedName>
    <definedName name="PROD_EXT_PLANTES_MED_EN_POT_N2_M10">Surfaces_Horti!$K$101</definedName>
    <definedName name="PROD_EXT_PLANTES_MED_EN_POT_N2_M11">Surfaces_Horti!$L$101</definedName>
    <definedName name="PROD_EXT_PLANTES_MED_EN_POT_N2_M12">Surfaces_Horti!$M$101</definedName>
    <definedName name="PROD_EXT_PLANTES_MED_EN_POT_N2_MOY">Surfaces_Horti!$N$101</definedName>
    <definedName name="PROD_EXT_PLANTES_VIVACES_EN_POT_N_M01">Surfaces_Horti!$B$21</definedName>
    <definedName name="PROD_EXT_PLANTES_VIVACES_EN_POT_N_M02">Surfaces_Horti!$C$21</definedName>
    <definedName name="PROD_EXT_PLANTES_VIVACES_EN_POT_N_M03">Surfaces_Horti!$D$21</definedName>
    <definedName name="PROD_EXT_PLANTES_VIVACES_EN_POT_N_M04">Surfaces_Horti!$E$21</definedName>
    <definedName name="PROD_EXT_PLANTES_VIVACES_EN_POT_N_M05">Surfaces_Horti!$F$21</definedName>
    <definedName name="PROD_EXT_PLANTES_VIVACES_EN_POT_N_M06">Surfaces_Horti!$G$21</definedName>
    <definedName name="PROD_EXT_PLANTES_VIVACES_EN_POT_N_M07">Surfaces_Horti!$H$21</definedName>
    <definedName name="PROD_EXT_PLANTES_VIVACES_EN_POT_N_M08">Surfaces_Horti!$I$21</definedName>
    <definedName name="PROD_EXT_PLANTES_VIVACES_EN_POT_N_M09">Surfaces_Horti!$J$21</definedName>
    <definedName name="PROD_EXT_PLANTES_VIVACES_EN_POT_N_M10">Surfaces_Horti!$K$21</definedName>
    <definedName name="PROD_EXT_PLANTES_VIVACES_EN_POT_N_M11">Surfaces_Horti!$L$21</definedName>
    <definedName name="PROD_EXT_PLANTES_VIVACES_EN_POT_N_M12">Surfaces_Horti!$M$21</definedName>
    <definedName name="PROD_EXT_PLANTES_VIVACES_EN_POT_N_MOY">Surfaces_Horti!$N$21</definedName>
    <definedName name="PROD_EXT_PLANTES_VIVACES_EN_POT_N1_M01">Surfaces_Horti!$B$58</definedName>
    <definedName name="PROD_EXT_PLANTES_VIVACES_EN_POT_N1_M02">Surfaces_Horti!$C$58</definedName>
    <definedName name="PROD_EXT_PLANTES_VIVACES_EN_POT_N1_M03">Surfaces_Horti!$D$58</definedName>
    <definedName name="PROD_EXT_PLANTES_VIVACES_EN_POT_N1_M04">Surfaces_Horti!$E$58</definedName>
    <definedName name="PROD_EXT_PLANTES_VIVACES_EN_POT_N1_M05">Surfaces_Horti!$F$58</definedName>
    <definedName name="PROD_EXT_PLANTES_VIVACES_EN_POT_N1_M06">Surfaces_Horti!$G$58</definedName>
    <definedName name="PROD_EXT_PLANTES_VIVACES_EN_POT_N1_M07">Surfaces_Horti!$H$58</definedName>
    <definedName name="PROD_EXT_PLANTES_VIVACES_EN_POT_N1_M08">Surfaces_Horti!$I$58</definedName>
    <definedName name="PROD_EXT_PLANTES_VIVACES_EN_POT_N1_M09">Surfaces_Horti!$J$58</definedName>
    <definedName name="PROD_EXT_PLANTES_VIVACES_EN_POT_N1_M10">Surfaces_Horti!$K$58</definedName>
    <definedName name="PROD_EXT_PLANTES_VIVACES_EN_POT_N1_M11">Surfaces_Horti!$L$58</definedName>
    <definedName name="PROD_EXT_PLANTES_VIVACES_EN_POT_N1_M12">Surfaces_Horti!$M$58</definedName>
    <definedName name="PROD_EXT_PLANTES_VIVACES_EN_POT_N1_MOY">Surfaces_Horti!$N$58</definedName>
    <definedName name="PROD_EXT_PLANTES_VIVACES_EN_POT_N2_M01">Surfaces_Horti!$B$95</definedName>
    <definedName name="PROD_EXT_PLANTES_VIVACES_EN_POT_N2_M02">Surfaces_Horti!$C$95</definedName>
    <definedName name="PROD_EXT_PLANTES_VIVACES_EN_POT_N2_M03">Surfaces_Horti!$D$95</definedName>
    <definedName name="PROD_EXT_PLANTES_VIVACES_EN_POT_N2_M04">Surfaces_Horti!$E$95</definedName>
    <definedName name="PROD_EXT_PLANTES_VIVACES_EN_POT_N2_M05">Surfaces_Horti!$F$95</definedName>
    <definedName name="PROD_EXT_PLANTES_VIVACES_EN_POT_N2_M06">Surfaces_Horti!$G$95</definedName>
    <definedName name="PROD_EXT_PLANTES_VIVACES_EN_POT_N2_M07">Surfaces_Horti!$H$95</definedName>
    <definedName name="PROD_EXT_PLANTES_VIVACES_EN_POT_N2_M08">Surfaces_Horti!$I$95</definedName>
    <definedName name="PROD_EXT_PLANTES_VIVACES_EN_POT_N2_M09">Surfaces_Horti!$J$95</definedName>
    <definedName name="PROD_EXT_PLANTES_VIVACES_EN_POT_N2_M10">Surfaces_Horti!$K$95</definedName>
    <definedName name="PROD_EXT_PLANTES_VIVACES_EN_POT_N2_M11">Surfaces_Horti!$L$95</definedName>
    <definedName name="PROD_EXT_PLANTES_VIVACES_EN_POT_N2_M12">Surfaces_Horti!$M$95</definedName>
    <definedName name="PROD_EXT_PLANTES_VIVACES_EN_POT_N2_MOY">Surfaces_Horti!$N$95</definedName>
    <definedName name="PROD_EXT_PLANTES_VIVACES_PLEINE_TERRE_N_M01">Surfaces_Horti!$B$22</definedName>
    <definedName name="PROD_EXT_PLANTES_VIVACES_PLEINE_TERRE_N_M02">Surfaces_Horti!$C$22</definedName>
    <definedName name="PROD_EXT_PLANTES_VIVACES_PLEINE_TERRE_N_M03">Surfaces_Horti!$D$22</definedName>
    <definedName name="PROD_EXT_PLANTES_VIVACES_PLEINE_TERRE_N_M04">Surfaces_Horti!$E$22</definedName>
    <definedName name="PROD_EXT_PLANTES_VIVACES_PLEINE_TERRE_N_M05">Surfaces_Horti!$F$22</definedName>
    <definedName name="PROD_EXT_PLANTES_VIVACES_PLEINE_TERRE_N_M06">Surfaces_Horti!$G$22</definedName>
    <definedName name="PROD_EXT_PLANTES_VIVACES_PLEINE_TERRE_N_M07">Surfaces_Horti!$H$22</definedName>
    <definedName name="PROD_EXT_PLANTES_VIVACES_PLEINE_TERRE_N_M08">Surfaces_Horti!$I$22</definedName>
    <definedName name="PROD_EXT_PLANTES_VIVACES_PLEINE_TERRE_N_M09">Surfaces_Horti!$J$22</definedName>
    <definedName name="PROD_EXT_PLANTES_VIVACES_PLEINE_TERRE_N_M10">Surfaces_Horti!$K$22</definedName>
    <definedName name="PROD_EXT_PLANTES_VIVACES_PLEINE_TERRE_N_M11">Surfaces_Horti!$L$22</definedName>
    <definedName name="PROD_EXT_PLANTES_VIVACES_PLEINE_TERRE_N_M12">Surfaces_Horti!$M$22</definedName>
    <definedName name="PROD_EXT_PLANTES_VIVACES_PLEINE_TERRE_N_MOY">Surfaces_Horti!$N$22</definedName>
    <definedName name="PROD_EXT_PLANTES_VIVACES_PLEINE_TERRE_N1_M01">Surfaces_Horti!$B$59</definedName>
    <definedName name="PROD_EXT_PLANTES_VIVACES_PLEINE_TERRE_N1_M02">Surfaces_Horti!$C$59</definedName>
    <definedName name="PROD_EXT_PLANTES_VIVACES_PLEINE_TERRE_N1_M03">Surfaces_Horti!$D$59</definedName>
    <definedName name="PROD_EXT_PLANTES_VIVACES_PLEINE_TERRE_N1_M04">Surfaces_Horti!$E$59</definedName>
    <definedName name="PROD_EXT_PLANTES_VIVACES_PLEINE_TERRE_N1_M05">Surfaces_Horti!$F$59</definedName>
    <definedName name="PROD_EXT_PLANTES_VIVACES_PLEINE_TERRE_N1_M06">Surfaces_Horti!$G$59</definedName>
    <definedName name="PROD_EXT_PLANTES_VIVACES_PLEINE_TERRE_N1_M07">Surfaces_Horti!$H$59</definedName>
    <definedName name="PROD_EXT_PLANTES_VIVACES_PLEINE_TERRE_N1_M08">Surfaces_Horti!$I$59</definedName>
    <definedName name="PROD_EXT_PLANTES_VIVACES_PLEINE_TERRE_N1_M09">Surfaces_Horti!$J$59</definedName>
    <definedName name="PROD_EXT_PLANTES_VIVACES_PLEINE_TERRE_N1_M10">Surfaces_Horti!$K$59</definedName>
    <definedName name="PROD_EXT_PLANTES_VIVACES_PLEINE_TERRE_N1_M11">Surfaces_Horti!$L$59</definedName>
    <definedName name="PROD_EXT_PLANTES_VIVACES_PLEINE_TERRE_N1_M12">Surfaces_Horti!$M$59</definedName>
    <definedName name="PROD_EXT_PLANTES_VIVACES_PLEINE_TERRE_N1_MOY">Surfaces_Horti!$N$59</definedName>
    <definedName name="PROD_EXT_PLANTES_VIVACES_PLEINE_TERRE_N2_M01">Surfaces_Horti!$B$96</definedName>
    <definedName name="PROD_EXT_PLANTES_VIVACES_PLEINE_TERRE_N2_M02">Surfaces_Horti!$C$96</definedName>
    <definedName name="PROD_EXT_PLANTES_VIVACES_PLEINE_TERRE_N2_M03">Surfaces_Horti!$D$96</definedName>
    <definedName name="PROD_EXT_PLANTES_VIVACES_PLEINE_TERRE_N2_M04">Surfaces_Horti!$E$96</definedName>
    <definedName name="PROD_EXT_PLANTES_VIVACES_PLEINE_TERRE_N2_M05">Surfaces_Horti!$F$96</definedName>
    <definedName name="PROD_EXT_PLANTES_VIVACES_PLEINE_TERRE_N2_M06">Surfaces_Horti!$G$96</definedName>
    <definedName name="PROD_EXT_PLANTES_VIVACES_PLEINE_TERRE_N2_M07">Surfaces_Horti!$H$96</definedName>
    <definedName name="PROD_EXT_PLANTES_VIVACES_PLEINE_TERRE_N2_M08">Surfaces_Horti!$I$96</definedName>
    <definedName name="PROD_EXT_PLANTES_VIVACES_PLEINE_TERRE_N2_M09">Surfaces_Horti!$J$96</definedName>
    <definedName name="PROD_EXT_PLANTES_VIVACES_PLEINE_TERRE_N2_M10">Surfaces_Horti!$K$96</definedName>
    <definedName name="PROD_EXT_PLANTES_VIVACES_PLEINE_TERRE_N2_M11">Surfaces_Horti!$L$96</definedName>
    <definedName name="PROD_EXT_PLANTES_VIVACES_PLEINE_TERRE_N2_M12">Surfaces_Horti!$M$96</definedName>
    <definedName name="PROD_EXT_PLANTES_VIVACES_PLEINE_TERRE_N2_MOY">Surfaces_Horti!$N$96</definedName>
    <definedName name="PROD_EXT_ROSIER_PLEINE_TERRE_N_M01">Surfaces_Horti!$B$30</definedName>
    <definedName name="PROD_EXT_ROSIER_PLEINE_TERRE_N_M02">Surfaces_Horti!$C$30</definedName>
    <definedName name="PROD_EXT_ROSIER_PLEINE_TERRE_N_M03">Surfaces_Horti!$D$30</definedName>
    <definedName name="PROD_EXT_ROSIER_PLEINE_TERRE_N_M04">Surfaces_Horti!$E$30</definedName>
    <definedName name="PROD_EXT_ROSIER_PLEINE_TERRE_N_M05">Surfaces_Horti!$F$30</definedName>
    <definedName name="PROD_EXT_ROSIER_PLEINE_TERRE_N_M06">Surfaces_Horti!$G$30</definedName>
    <definedName name="PROD_EXT_ROSIER_PLEINE_TERRE_N_M07">Surfaces_Horti!$H$30</definedName>
    <definedName name="PROD_EXT_ROSIER_PLEINE_TERRE_N_M08">Surfaces_Horti!$I$30</definedName>
    <definedName name="PROD_EXT_ROSIER_PLEINE_TERRE_N_M09">Surfaces_Horti!$J$30</definedName>
    <definedName name="PROD_EXT_ROSIER_PLEINE_TERRE_N_M10">Surfaces_Horti!$K$30</definedName>
    <definedName name="PROD_EXT_ROSIER_PLEINE_TERRE_N_M11">Surfaces_Horti!$L$30</definedName>
    <definedName name="PROD_EXT_ROSIER_PLEINE_TERRE_N_M12">Surfaces_Horti!$M$30</definedName>
    <definedName name="PROD_EXT_ROSIER_PLEINE_TERRE_N_MOY">Surfaces_Horti!$N$30</definedName>
    <definedName name="PROD_EXT_ROSIER_PLEINE_TERRE_N1_M01">Surfaces_Horti!$B$67</definedName>
    <definedName name="PROD_EXT_ROSIER_PLEINE_TERRE_N1_M02">Surfaces_Horti!$C$67</definedName>
    <definedName name="PROD_EXT_ROSIER_PLEINE_TERRE_N1_M03">Surfaces_Horti!$D$67</definedName>
    <definedName name="PROD_EXT_ROSIER_PLEINE_TERRE_N1_M04">Surfaces_Horti!$E$67</definedName>
    <definedName name="PROD_EXT_ROSIER_PLEINE_TERRE_N1_M05">Surfaces_Horti!$F$67</definedName>
    <definedName name="PROD_EXT_ROSIER_PLEINE_TERRE_N1_M06">Surfaces_Horti!$G$67</definedName>
    <definedName name="PROD_EXT_ROSIER_PLEINE_TERRE_N1_M07">Surfaces_Horti!$H$67</definedName>
    <definedName name="PROD_EXT_ROSIER_PLEINE_TERRE_N1_M08">Surfaces_Horti!$I$67</definedName>
    <definedName name="PROD_EXT_ROSIER_PLEINE_TERRE_N1_M09">Surfaces_Horti!$J$67</definedName>
    <definedName name="PROD_EXT_ROSIER_PLEINE_TERRE_N1_M10">Surfaces_Horti!$K$67</definedName>
    <definedName name="PROD_EXT_ROSIER_PLEINE_TERRE_N1_M11">Surfaces_Horti!$L$67</definedName>
    <definedName name="PROD_EXT_ROSIER_PLEINE_TERRE_N1_M12">Surfaces_Horti!$M$67</definedName>
    <definedName name="PROD_EXT_ROSIER_PLEINE_TERRE_N1_MOY">Surfaces_Horti!$N$67</definedName>
    <definedName name="PROD_EXT_ROSIER_PLEINE_TERRE_N2_M01">Surfaces_Horti!$B$104</definedName>
    <definedName name="PROD_EXT_ROSIER_PLEINE_TERRE_N2_M02">Surfaces_Horti!$C$104</definedName>
    <definedName name="PROD_EXT_ROSIER_PLEINE_TERRE_N2_M03">Surfaces_Horti!$D$104</definedName>
    <definedName name="PROD_EXT_ROSIER_PLEINE_TERRE_N2_M04">Surfaces_Horti!$E$104</definedName>
    <definedName name="PROD_EXT_ROSIER_PLEINE_TERRE_N2_M05">Surfaces_Horti!$F$104</definedName>
    <definedName name="PROD_EXT_ROSIER_PLEINE_TERRE_N2_M06">Surfaces_Horti!$G$104</definedName>
    <definedName name="PROD_EXT_ROSIER_PLEINE_TERRE_N2_M07">Surfaces_Horti!$H$104</definedName>
    <definedName name="PROD_EXT_ROSIER_PLEINE_TERRE_N2_M08">Surfaces_Horti!$I$104</definedName>
    <definedName name="PROD_EXT_ROSIER_PLEINE_TERRE_N2_M09">Surfaces_Horti!$J$104</definedName>
    <definedName name="PROD_EXT_ROSIER_PLEINE_TERRE_N2_M10">Surfaces_Horti!$K$104</definedName>
    <definedName name="PROD_EXT_ROSIER_PLEINE_TERRE_N2_M11">Surfaces_Horti!$L$104</definedName>
    <definedName name="PROD_EXT_ROSIER_PLEINE_TERRE_N2_M12">Surfaces_Horti!$M$104</definedName>
    <definedName name="PROD_EXT_ROSIER_PLEINE_TERRE_N2_MOY">Surfaces_Horti!$N$104</definedName>
    <definedName name="PROD_OSIER_N">Surfaces!$O$32</definedName>
    <definedName name="PROD_OSIER_N1">Surfaces!$P$32</definedName>
    <definedName name="PROD_OSIER_N2">Surfaces!$Q$32</definedName>
    <definedName name="PRORATA_SURF_CULTURES_ANNUELLES_CONCERNEES">Phyto!$R$184</definedName>
    <definedName name="PRORATA_SURF_CULTURES_PERENNES_CONCERNEES">Phyto!$R$189</definedName>
    <definedName name="PT_GRAMINEE_PURE_N">Surfaces!$O$117</definedName>
    <definedName name="PT_GRAMINEE_PURE_N1">Surfaces!$P$117</definedName>
    <definedName name="PT_GRAMINEE_PURE_N2">Surfaces!$Q$117</definedName>
    <definedName name="PT_LEGUMINEUSE_PURE_N">Surfaces!$O$115</definedName>
    <definedName name="PT_LEGUMINEUSE_PURE_N1">Surfaces!$P$115</definedName>
    <definedName name="PT_LEGUMINEUSE_PURE_N2">Surfaces!$Q$115</definedName>
    <definedName name="PT_MELANGE_COMPLEXE_N">Surfaces!$O$119</definedName>
    <definedName name="PT_MELANGE_COMPLEXE_N1">Surfaces!$P$119</definedName>
    <definedName name="PT_MELANGE_COMPLEXE_N2">Surfaces!$Q$119</definedName>
    <definedName name="PT_MELANGE_GRAMINEE_N">Surfaces!$O$118</definedName>
    <definedName name="PT_MELANGE_GRAMINEE_N1">Surfaces!$P$118</definedName>
    <definedName name="PT_MELANGE_GRAMINEE_N2">Surfaces!$Q$118</definedName>
    <definedName name="PT_MELANGE_LEGUMINEUSE_N">Surfaces!$O$116</definedName>
    <definedName name="PT_MELANGE_LEGUMINEUSE_N1">Surfaces!$P$116</definedName>
    <definedName name="PT_MELANGE_LEGUMINEUSE_N2">Surfaces!$Q$116</definedName>
    <definedName name="QUANTITE_AZOTE_APPORTEE_N">Fertilisation!$Q$87</definedName>
    <definedName name="QUANTITE_AZOTE_APPORTEE_N1">Fertilisation!$Q$88</definedName>
    <definedName name="QUANTITE_AZOTE_APPORTEE_N2">Fertilisation!$Q$89</definedName>
    <definedName name="QUANTITE_AZOTE_MINERAL">Fertilisation!$N$116</definedName>
    <definedName name="QUANTITE_AZOTE_ORGA">Fertilisation!$N$117</definedName>
    <definedName name="QUANTITE_SUBST_ACT_N">Phyto!$Q$147</definedName>
    <definedName name="QUANTITE_SUBST_ACT_N1">Phyto!$Q$148</definedName>
    <definedName name="QUANTITE_SUBST_ACT_N2">Phyto!$Q$149</definedName>
    <definedName name="QUANTITE_TOTALE_AZOTE">Fertilisation!$N$121</definedName>
    <definedName name="QUANTITE_TOTALE_AZOTE_APPORTEE">Fertilisation!$Q$94</definedName>
    <definedName name="QUANTITE_TOTALE_SUBST_ACT">Phyto!$Q$154</definedName>
    <definedName name="RAISOC_EXPLOITATION">Identification!$F$36</definedName>
    <definedName name="RATIO_6HA_PERM_SAU">Biodiversité!$P$85</definedName>
    <definedName name="RATIO_CULTURE_PPLE_SAU">Biodiversité!$N$112</definedName>
    <definedName name="RATIO_SURFACE_IRRIGUEE">Irrigation!$K$14</definedName>
    <definedName name="RECUP_EAU_PLUIE">Irrigation!$N$237</definedName>
    <definedName name="RECY_POURCENTAGE_EAUX_IRRIG">Phyto!$L$363</definedName>
    <definedName name="RECY_POURCENTAGE_SYSTEME_PARTIEL">Phyto!$L$365</definedName>
    <definedName name="RECY_POURCENTAGE_SYSTEME_TOTAL">Phyto!$L$364</definedName>
    <definedName name="RECY_SURF_CONCERNEE">Phyto!$L$353</definedName>
    <definedName name="RECY_SYSTEME_TRAIT_PARTIEL">Phyto!$L$357</definedName>
    <definedName name="RECY_SYSTEME_TRAIT_TOTAL">Phyto!$L$356</definedName>
    <definedName name="RECY_VOLUME_EAU_IRRIG">Phyto!$L$351</definedName>
    <definedName name="RECY_VOLUME_EAU_RECYCLE">Phyto!$L$352</definedName>
    <definedName name="REF_ANNUAIRE">Identification!$U$49</definedName>
    <definedName name="REGION_EXPLOITATION_SIEGE">Identification!$R$44</definedName>
    <definedName name="RENDEMENT_PARCELLE">Irrigation!$K$44</definedName>
    <definedName name="RESULTAT_AUDIT">SYNTHESE!$P$42</definedName>
    <definedName name="RESULTAT_AZOTE_ORGA">Fertilisation!$P$122</definedName>
    <definedName name="RESULTAT_BILAN_AZOTE">Fertilisation!$P$64</definedName>
    <definedName name="RESULTAT_BILAN_IAE">Biodiversité!$W$58</definedName>
    <definedName name="RESULTAT_CAMPAGNE_COLLECTIVE">Phyto!$R$198</definedName>
    <definedName name="RESULTAT_COLLECTE_DONNEES">Phyto!$R$199</definedName>
    <definedName name="RESULTAT_COUVERT_VEGETAL">Phyto!$L$332</definedName>
    <definedName name="RESULTAT_COUVERTURE_SOLS">Fertilisation!$Q$300</definedName>
    <definedName name="RESULTAT_CULTURES_HORS_SOL">Phyto!$L$290</definedName>
    <definedName name="RESULTAT_DIAGNOSTIC_PRECOCE">Phyto!$R$197</definedName>
    <definedName name="RESULTAT_DIVERSITE">Phyto!$L$299</definedName>
    <definedName name="RESULTAT_DIVERSITE_ARBO">Phyto!$L$280</definedName>
    <definedName name="RESULTAT_DIVERSITE_IAE">Biodiversité!$W$56</definedName>
    <definedName name="RESULTAT_DIVERSITE_LEG_FRUITS">Phyto!$L$285</definedName>
    <definedName name="RESULTAT_DIVERSITE_VIGNE">Phyto!$L$275</definedName>
    <definedName name="RESULTAT_EAUX_IRRIG">Phyto!$N$363</definedName>
    <definedName name="RESULTAT_HERBICIDES_CMR2">Phyto!$P$22</definedName>
    <definedName name="RESULTAT_HORS_ZONE_VULNERABLE_HORS_VITI_ARBO_HORTI">Fertilisation!$Q$290</definedName>
    <definedName name="RESULTAT_HORS_ZONE_VULNERABLE_SAU_HORS_VITI_ARBO_HORTI">Fertilisation!$Q$296</definedName>
    <definedName name="RESULTAT_LEGUMINEUSES">Fertilisation!$P$243</definedName>
    <definedName name="RESULTAT_MATERIEL_UTILISE">Phyto!$D$266</definedName>
    <definedName name="RESULTAT_METHODES_ALTERNATIVES">Phyto!$P$242</definedName>
    <definedName name="RESULTAT_NB_ESPECES_ANIMALES_ELEVEES">Biodiversité!$L$180</definedName>
    <definedName name="RESULTAT_NB_ESPECES_VEG_CULTIVEES">Biodiversité!$O$154</definedName>
    <definedName name="RESULTAT_NON_HERBICIDES_CMR2">Phyto!$P$23</definedName>
    <definedName name="RESULTAT_OAD">Fertilisation!$P$191</definedName>
    <definedName name="RESULTAT_PART_ARBO">Phyto!$L$295</definedName>
    <definedName name="RESULTAT_PART_CULTURES_HORS_SOL">Phyto!$L$297</definedName>
    <definedName name="RESULTAT_PART_LEG_FRUITS">Phyto!$L$296</definedName>
    <definedName name="RESULTAT_PART_VIGNES">Phyto!$L$294</definedName>
    <definedName name="RESULTAT_POIDS_CULTURE_PRINCIPALE">Biodiversité!$Q$112</definedName>
    <definedName name="RESULTAT_POIDS_IAE">Biodiversité!$W$53</definedName>
    <definedName name="RESULTAT_PRESENCE_RUCHES">Biodiversité!$L$199</definedName>
    <definedName name="RESULTAT_PRORATA_APPORTS_FERTILISANTS">Fertilisation!$Q$325</definedName>
    <definedName name="RESULTAT_PRORATA_SUBST_ACT">Phyto!$S$160</definedName>
    <definedName name="RESULTAT_QUALITE_BIO_SOL">Biodiversité!$O$247</definedName>
    <definedName name="RESULTAT_QUANTITE_AZOTE">Fertilisation!$S$100</definedName>
    <definedName name="RESULTAT_RACES_ANIMALES_MENACEES">Biodiversité!$L$230</definedName>
    <definedName name="RESULTAT_RECYCLAGE">Phyto!$N$366</definedName>
    <definedName name="RESULTAT_RECYCLAGE_TRAITEMENT_EAUX_IRRIG">Fertilisation!$N$353</definedName>
    <definedName name="RESULTAT_SAU_ARBO">Fertilisation!$Q$298</definedName>
    <definedName name="RESULTAT_SAU_HORTI">Fertilisation!$Q$299</definedName>
    <definedName name="RESULTAT_SAU_NON_FERTILISEE">Fertilisation!$L$215</definedName>
    <definedName name="RESULTAT_SAU_VIGNES">Fertilisation!$Q$297</definedName>
    <definedName name="RESULTAT_SOLDE_MOYEN_BILAN">Fertilisation!$P$55</definedName>
    <definedName name="RESULTAT_SUBST_ACT">Phyto!$S$157</definedName>
    <definedName name="RESULTAT_SURF_ARBO_COUVERTE">Phyto!$L$329</definedName>
    <definedName name="RESULTAT_SURF_HORTI_COUVERTE">Phyto!$L$330</definedName>
    <definedName name="RESULTAT_SURF_HS_SYSTEME_PARTIEL">Fertilisation!$N$351</definedName>
    <definedName name="RESULTAT_SURF_HS_SYSTEME_TOTAL">Fertilisation!$N$350</definedName>
    <definedName name="RESULTAT_SURF_NON_TRAITEE">Phyto!$P$55</definedName>
    <definedName name="RESULTAT_SURF_VIGNES_COUVERTE">Phyto!$L$328</definedName>
    <definedName name="RESULTAT_SURVEILLANCE">Phyto!$R$200</definedName>
    <definedName name="RESULTAT_SYSTEME_PARTIEL">Phyto!$N$365</definedName>
    <definedName name="RESULTAT_SYSTEME_TOTAL">Phyto!$N$364</definedName>
    <definedName name="RESULTAT_TAILLE_PARCELLES">Biodiversité!$S$85</definedName>
    <definedName name="RESULTAT_TOTAL_APPORTS_FERTILISANTS">Fertilisation!$Q$324</definedName>
    <definedName name="RESULTAT_TOTAL_CULTURES_MINEURES">Fertilisation!$P$187</definedName>
    <definedName name="RESULTAT_TOTAL_CULTURES_PRINCIPALES">Fertilisation!$P$181</definedName>
    <definedName name="RESULTAT_TOTAL_POINTS">Fertilisation!$S$97</definedName>
    <definedName name="RESULTAT_TOTAL_POINTS_MENACEES">Biodiversité!$L$231</definedName>
    <definedName name="RESULTAT_VAR_VEG_MENACEES">Biodiversité!$L$229</definedName>
    <definedName name="RESULTAT_ZONE_VULNERABLE_SAU_HORS_VITI_ARBO_HORTI">Fertilisation!$Q$295</definedName>
    <definedName name="RESULTAT_ZONE_VULNERABLE_SURF_HORS_VITI_ARBO_HORTI">Fertilisation!$Q$289</definedName>
    <definedName name="RESULTATS_POINTS_DEMARCHE_COLL">Irrigation!$D$139</definedName>
    <definedName name="RESULTATS_POINTS_PRATIQUES">Irrigation!$M$51</definedName>
    <definedName name="RESULTATS_POINTS_PRATIQUES_AGRO">Irrigation!$N$167</definedName>
    <definedName name="RESULTATS_POINTS_UTILISATION_MATERIEL">Irrigation!$L$124</definedName>
    <definedName name="RESULTATS_PRELEVE_ETIAGE">Irrigation!$M$190</definedName>
    <definedName name="RIZ_N">Surfaces!$O$82</definedName>
    <definedName name="RIZ_N1">Surfaces!$P$82</definedName>
    <definedName name="RIZ_N2">Surfaces!$Q$82</definedName>
    <definedName name="SAPIN_NOEL_N">Surfaces!#REF!</definedName>
    <definedName name="SAPIN_NOEL_N1">Surfaces!#REF!</definedName>
    <definedName name="SAPIN_NOEL_N2">Surfaces!#REF!</definedName>
    <definedName name="SAU_CULTIVEE_HORTI_HORS_SOL_N_M01">Surfaces_Horti!$B$40</definedName>
    <definedName name="SAU_CULTIVEE_HORTI_HORS_SOL_N_M02">Surfaces_Horti!$C$40</definedName>
    <definedName name="SAU_CULTIVEE_HORTI_HORS_SOL_N_M03">Surfaces_Horti!$D$40</definedName>
    <definedName name="SAU_CULTIVEE_HORTI_HORS_SOL_N_M04">Surfaces_Horti!$E$40</definedName>
    <definedName name="SAU_CULTIVEE_HORTI_HORS_SOL_N_M05">Surfaces_Horti!$F$40</definedName>
    <definedName name="SAU_CULTIVEE_HORTI_HORS_SOL_N_M06">Surfaces_Horti!$G$40</definedName>
    <definedName name="SAU_CULTIVEE_HORTI_HORS_SOL_N_M07">Surfaces_Horti!$H$40</definedName>
    <definedName name="SAU_CULTIVEE_HORTI_HORS_SOL_N_M08">Surfaces_Horti!$I$40</definedName>
    <definedName name="SAU_CULTIVEE_HORTI_HORS_SOL_N_M09">Surfaces_Horti!$J$40</definedName>
    <definedName name="SAU_CULTIVEE_HORTI_HORS_SOL_N_M10">Surfaces_Horti!$K$40</definedName>
    <definedName name="SAU_CULTIVEE_HORTI_HORS_SOL_N_M11">Surfaces_Horti!$L$40</definedName>
    <definedName name="SAU_CULTIVEE_HORTI_HORS_SOL_N_M12">Surfaces_Horti!$M$40</definedName>
    <definedName name="SAU_CULTIVEE_HORTI_HORS_SOL_N_MOY">Surfaces_Horti!$N$40</definedName>
    <definedName name="SAU_CULTIVEE_HORTI_HORS_SOL_N1_M01">Surfaces_Horti!$B$77</definedName>
    <definedName name="SAU_CULTIVEE_HORTI_HORS_SOL_N1_M02">Surfaces_Horti!$C$77</definedName>
    <definedName name="SAU_CULTIVEE_HORTI_HORS_SOL_N1_M03">Surfaces_Horti!$D$77</definedName>
    <definedName name="SAU_CULTIVEE_HORTI_HORS_SOL_N1_M04">Surfaces_Horti!$E$77</definedName>
    <definedName name="SAU_CULTIVEE_HORTI_HORS_SOL_N1_M05">Surfaces_Horti!$F$77</definedName>
    <definedName name="SAU_CULTIVEE_HORTI_HORS_SOL_N1_M06">Surfaces_Horti!$G$77</definedName>
    <definedName name="SAU_CULTIVEE_HORTI_HORS_SOL_N1_M07">Surfaces_Horti!$H$77</definedName>
    <definedName name="SAU_CULTIVEE_HORTI_HORS_SOL_N1_M08">Surfaces_Horti!$I$77</definedName>
    <definedName name="SAU_CULTIVEE_HORTI_HORS_SOL_N1_M09">Surfaces_Horti!$J$77</definedName>
    <definedName name="SAU_CULTIVEE_HORTI_HORS_SOL_N1_M10">Surfaces_Horti!$K$77</definedName>
    <definedName name="SAU_CULTIVEE_HORTI_HORS_SOL_N1_M11">Surfaces_Horti!$L$77</definedName>
    <definedName name="SAU_CULTIVEE_HORTI_HORS_SOL_N1_M12">Surfaces_Horti!$M$77</definedName>
    <definedName name="SAU_CULTIVEE_HORTI_HORS_SOL_N1_MOY">Surfaces_Horti!$N$77</definedName>
    <definedName name="SAU_CULTIVEE_HORTI_HORS_SOL_N2_M01">Surfaces_Horti!$B$114</definedName>
    <definedName name="SAU_CULTIVEE_HORTI_HORS_SOL_N2_M02">Surfaces_Horti!$C$114</definedName>
    <definedName name="SAU_CULTIVEE_HORTI_HORS_SOL_N2_M03">Surfaces_Horti!$D$114</definedName>
    <definedName name="SAU_CULTIVEE_HORTI_HORS_SOL_N2_M04">Surfaces_Horti!$E$114</definedName>
    <definedName name="SAU_CULTIVEE_HORTI_HORS_SOL_N2_M05">Surfaces_Horti!$F$114</definedName>
    <definedName name="SAU_CULTIVEE_HORTI_HORS_SOL_N2_M06">Surfaces_Horti!$G$114</definedName>
    <definedName name="SAU_CULTIVEE_HORTI_HORS_SOL_N2_M07">Surfaces_Horti!$H$114</definedName>
    <definedName name="SAU_CULTIVEE_HORTI_HORS_SOL_N2_M08">Surfaces_Horti!$I$114</definedName>
    <definedName name="SAU_CULTIVEE_HORTI_HORS_SOL_N2_M09">Surfaces_Horti!$J$114</definedName>
    <definedName name="SAU_CULTIVEE_HORTI_HORS_SOL_N2_M10">Surfaces_Horti!$K$114</definedName>
    <definedName name="SAU_CULTIVEE_HORTI_HORS_SOL_N2_M11">Surfaces_Horti!$L$114</definedName>
    <definedName name="SAU_CULTIVEE_HORTI_HORS_SOL_N2_M12">Surfaces_Horti!$M$114</definedName>
    <definedName name="SAU_CULTIVEE_HORTI_HORS_SOL_N2_MOY">Surfaces_Horti!$N$114</definedName>
    <definedName name="SAU_CULTIVEE_HORTI_PEPINIERE_N_M01">Surfaces_Horti!$B$38</definedName>
    <definedName name="SAU_CULTIVEE_HORTI_PEPINIERE_N_M02">Surfaces_Horti!$C$38</definedName>
    <definedName name="SAU_CULTIVEE_HORTI_PEPINIERE_N_M03">Surfaces_Horti!$D$38</definedName>
    <definedName name="SAU_CULTIVEE_HORTI_PEPINIERE_N_M04">Surfaces_Horti!$E$38</definedName>
    <definedName name="SAU_CULTIVEE_HORTI_PEPINIERE_N_M05">Surfaces_Horti!$F$38</definedName>
    <definedName name="SAU_CULTIVEE_HORTI_PEPINIERE_N_M06">Surfaces_Horti!$G$38</definedName>
    <definedName name="SAU_CULTIVEE_HORTI_PEPINIERE_N_M07">Surfaces_Horti!$H$38</definedName>
    <definedName name="SAU_CULTIVEE_HORTI_PEPINIERE_N_M08">Surfaces_Horti!$I$38</definedName>
    <definedName name="SAU_CULTIVEE_HORTI_PEPINIERE_N_M09">Surfaces_Horti!$J$38</definedName>
    <definedName name="SAU_CULTIVEE_HORTI_PEPINIERE_N_M10">Surfaces_Horti!$K$38</definedName>
    <definedName name="SAU_CULTIVEE_HORTI_PEPINIERE_N_M11">Surfaces_Horti!$L$38</definedName>
    <definedName name="SAU_CULTIVEE_HORTI_PEPINIERE_N_M12">Surfaces_Horti!$M$38</definedName>
    <definedName name="SAU_CULTIVEE_HORTI_PEPINIERE_N_MOY">Surfaces_Horti!$N$38</definedName>
    <definedName name="SAU_CULTIVEE_HORTI_PEPINIERE_N1_M01">Surfaces_Horti!$B$75</definedName>
    <definedName name="SAU_CULTIVEE_HORTI_PEPINIERE_N1_M02">Surfaces_Horti!$C$75</definedName>
    <definedName name="SAU_CULTIVEE_HORTI_PEPINIERE_N1_M03">Surfaces_Horti!$D$75</definedName>
    <definedName name="SAU_CULTIVEE_HORTI_PEPINIERE_N1_M04">Surfaces_Horti!$E$75</definedName>
    <definedName name="SAU_CULTIVEE_HORTI_PEPINIERE_N1_M05">Surfaces_Horti!$F$75</definedName>
    <definedName name="SAU_CULTIVEE_HORTI_PEPINIERE_N1_M06">Surfaces_Horti!$G$75</definedName>
    <definedName name="SAU_CULTIVEE_HORTI_PEPINIERE_N1_M07">Surfaces_Horti!$H$75</definedName>
    <definedName name="SAU_CULTIVEE_HORTI_PEPINIERE_N1_M08">Surfaces_Horti!$I$75</definedName>
    <definedName name="SAU_CULTIVEE_HORTI_PEPINIERE_N1_M09">Surfaces_Horti!$J$75</definedName>
    <definedName name="SAU_CULTIVEE_HORTI_PEPINIERE_N1_M10">Surfaces_Horti!$K$75</definedName>
    <definedName name="SAU_CULTIVEE_HORTI_PEPINIERE_N1_M11">Surfaces_Horti!$L$75</definedName>
    <definedName name="SAU_CULTIVEE_HORTI_PEPINIERE_N1_M12">Surfaces_Horti!$M$75</definedName>
    <definedName name="SAU_CULTIVEE_HORTI_PEPINIERE_N1_MOY">Surfaces_Horti!$N$75</definedName>
    <definedName name="SAU_CULTIVEE_HORTI_PEPINIERE_N2_M01">Surfaces_Horti!$B$112</definedName>
    <definedName name="SAU_CULTIVEE_HORTI_PEPINIERE_N2_M02">Surfaces_Horti!$C$112</definedName>
    <definedName name="SAU_CULTIVEE_HORTI_PEPINIERE_N2_M03">Surfaces_Horti!$D$112</definedName>
    <definedName name="SAU_CULTIVEE_HORTI_PEPINIERE_N2_M04">Surfaces_Horti!$E$112</definedName>
    <definedName name="SAU_CULTIVEE_HORTI_PEPINIERE_N2_M05">Surfaces_Horti!$F$112</definedName>
    <definedName name="SAU_CULTIVEE_HORTI_PEPINIERE_N2_M06">Surfaces_Horti!$G$112</definedName>
    <definedName name="SAU_CULTIVEE_HORTI_PEPINIERE_N2_M07">Surfaces_Horti!$H$112</definedName>
    <definedName name="SAU_CULTIVEE_HORTI_PEPINIERE_N2_M08">Surfaces_Horti!$I$112</definedName>
    <definedName name="SAU_CULTIVEE_HORTI_PEPINIERE_N2_M09">Surfaces_Horti!$J$112</definedName>
    <definedName name="SAU_CULTIVEE_HORTI_PEPINIERE_N2_M10">Surfaces_Horti!$K$112</definedName>
    <definedName name="SAU_CULTIVEE_HORTI_PEPINIERE_N2_M11">Surfaces_Horti!$L$112</definedName>
    <definedName name="SAU_CULTIVEE_HORTI_PEPINIERE_N2_M12">Surfaces_Horti!$M$112</definedName>
    <definedName name="SAU_CULTIVEE_HORTI_PEPINIERE_N2_MOY">Surfaces_Horti!$N$112</definedName>
    <definedName name="SAU_HORS_PRAIRIES_PERM">Biodiversité!$N$111</definedName>
    <definedName name="SAU_N">Surfaces!$O$25</definedName>
    <definedName name="SAU_N1">Surfaces!$P$25</definedName>
    <definedName name="SAU_N2">Surfaces!$Q$25</definedName>
    <definedName name="SAU_TOTAL_HORTI_HORS_SOL_N_M01">Surfaces_Horti!$B$41</definedName>
    <definedName name="SAU_TOTAL_HORTI_HORS_SOL_N_M02">Surfaces_Horti!$C$41</definedName>
    <definedName name="SAU_TOTAL_HORTI_HORS_SOL_N_M03">Surfaces_Horti!$D$41</definedName>
    <definedName name="SAU_TOTAL_HORTI_HORS_SOL_N_M04">Surfaces_Horti!$E$41</definedName>
    <definedName name="SAU_TOTAL_HORTI_HORS_SOL_N_M05">Surfaces_Horti!$F$41</definedName>
    <definedName name="SAU_TOTAL_HORTI_HORS_SOL_N_M06">Surfaces_Horti!$G$41</definedName>
    <definedName name="SAU_TOTAL_HORTI_HORS_SOL_N_M07">Surfaces_Horti!$H$41</definedName>
    <definedName name="SAU_TOTAL_HORTI_HORS_SOL_N_M08">Surfaces_Horti!$I$41</definedName>
    <definedName name="SAU_TOTAL_HORTI_HORS_SOL_N_M09">Surfaces_Horti!$J$41</definedName>
    <definedName name="SAU_TOTAL_HORTI_HORS_SOL_N_M10">Surfaces_Horti!$K$41</definedName>
    <definedName name="SAU_TOTAL_HORTI_HORS_SOL_N_M11">Surfaces_Horti!$L$41</definedName>
    <definedName name="SAU_TOTAL_HORTI_HORS_SOL_N_M12">Surfaces_Horti!$M$41</definedName>
    <definedName name="SAU_TOTAL_HORTI_HORS_SOL_N_MOY">Surfaces_Horti!$N$41</definedName>
    <definedName name="SAU_TOTAL_HORTI_HORS_SOL_N1_M01">Surfaces_Horti!$B$78</definedName>
    <definedName name="SAU_TOTAL_HORTI_HORS_SOL_N1_M02">Surfaces_Horti!$C$78</definedName>
    <definedName name="SAU_TOTAL_HORTI_HORS_SOL_N1_M03">Surfaces_Horti!$D$78</definedName>
    <definedName name="SAU_TOTAL_HORTI_HORS_SOL_N1_M04">Surfaces_Horti!$E$78</definedName>
    <definedName name="SAU_TOTAL_HORTI_HORS_SOL_N1_M05">Surfaces_Horti!$F$78</definedName>
    <definedName name="SAU_TOTAL_HORTI_HORS_SOL_N1_M06">Surfaces_Horti!$G$78</definedName>
    <definedName name="SAU_TOTAL_HORTI_HORS_SOL_N1_M07">Surfaces_Horti!$H$78</definedName>
    <definedName name="SAU_TOTAL_HORTI_HORS_SOL_N1_M08">Surfaces_Horti!$I$78</definedName>
    <definedName name="SAU_TOTAL_HORTI_HORS_SOL_N1_M09">Surfaces_Horti!$J$78</definedName>
    <definedName name="SAU_TOTAL_HORTI_HORS_SOL_N1_M10">Surfaces_Horti!$K$78</definedName>
    <definedName name="SAU_TOTAL_HORTI_HORS_SOL_N1_M11">Surfaces_Horti!$L$78</definedName>
    <definedName name="SAU_TOTAL_HORTI_HORS_SOL_N1_M12">Surfaces_Horti!$M$78</definedName>
    <definedName name="SAU_TOTAL_HORTI_HORS_SOL_N1_MOY">Surfaces_Horti!$N$78</definedName>
    <definedName name="SAU_TOTAL_HORTI_HORS_SOL_N2_M01">Surfaces_Horti!$B$115</definedName>
    <definedName name="SAU_TOTAL_HORTI_HORS_SOL_N2_M02">Surfaces_Horti!$C$115</definedName>
    <definedName name="SAU_TOTAL_HORTI_HORS_SOL_N2_M03">Surfaces_Horti!$D$115</definedName>
    <definedName name="SAU_TOTAL_HORTI_HORS_SOL_N2_M04">Surfaces_Horti!$E$115</definedName>
    <definedName name="SAU_TOTAL_HORTI_HORS_SOL_N2_M05">Surfaces_Horti!$F$115</definedName>
    <definedName name="SAU_TOTAL_HORTI_HORS_SOL_N2_M06">Surfaces_Horti!$G$115</definedName>
    <definedName name="SAU_TOTAL_HORTI_HORS_SOL_N2_M07">Surfaces_Horti!$H$115</definedName>
    <definedName name="SAU_TOTAL_HORTI_HORS_SOL_N2_M08">Surfaces_Horti!$I$115</definedName>
    <definedName name="SAU_TOTAL_HORTI_HORS_SOL_N2_M09">Surfaces_Horti!$J$115</definedName>
    <definedName name="SAU_TOTAL_HORTI_HORS_SOL_N2_M10">Surfaces_Horti!$K$115</definedName>
    <definedName name="SAU_TOTAL_HORTI_HORS_SOL_N2_M11">Surfaces_Horti!$L$115</definedName>
    <definedName name="SAU_TOTAL_HORTI_HORS_SOL_N2_M12">Surfaces_Horti!$M$115</definedName>
    <definedName name="SAU_TOTAL_HORTI_HORS_SOL_N2_MOY">Surfaces_Horti!$N$115</definedName>
    <definedName name="SAU_TOTALE_HORTI_PEPINIERE_N_M01">Surfaces_Horti!$B$39</definedName>
    <definedName name="SAU_TOTALE_HORTI_PEPINIERE_N_M02">Surfaces_Horti!$C$39</definedName>
    <definedName name="SAU_TOTALE_HORTI_PEPINIERE_N_M03">Surfaces_Horti!$D$39</definedName>
    <definedName name="SAU_TOTALE_HORTI_PEPINIERE_N_M04">Surfaces_Horti!$E$39</definedName>
    <definedName name="SAU_TOTALE_HORTI_PEPINIERE_N_M05">Surfaces_Horti!$F$39</definedName>
    <definedName name="SAU_TOTALE_HORTI_PEPINIERE_N_M06">Surfaces_Horti!$G$39</definedName>
    <definedName name="SAU_TOTALE_HORTI_PEPINIERE_N_M07">Surfaces_Horti!$H$39</definedName>
    <definedName name="SAU_TOTALE_HORTI_PEPINIERE_N_M08">Surfaces_Horti!$I$39</definedName>
    <definedName name="SAU_TOTALE_HORTI_PEPINIERE_N_M09">Surfaces_Horti!$J$39</definedName>
    <definedName name="SAU_TOTALE_HORTI_PEPINIERE_N_M10">Surfaces_Horti!$K$39</definedName>
    <definedName name="SAU_TOTALE_HORTI_PEPINIERE_N_M11">Surfaces_Horti!$L$39</definedName>
    <definedName name="SAU_TOTALE_HORTI_PEPINIERE_N_M12">Surfaces_Horti!$M$39</definedName>
    <definedName name="SAU_TOTALE_HORTI_PEPINIERE_N_MOY">Surfaces_Horti!$N$39</definedName>
    <definedName name="SAU_TOTALE_HORTI_PEPINIERE_N1_M01">Surfaces_Horti!$B$76</definedName>
    <definedName name="SAU_TOTALE_HORTI_PEPINIERE_N1_M02">Surfaces_Horti!$C$76</definedName>
    <definedName name="SAU_TOTALE_HORTI_PEPINIERE_N1_M03">Surfaces_Horti!$D$76</definedName>
    <definedName name="SAU_TOTALE_HORTI_PEPINIERE_N1_M04">Surfaces_Horti!$E$76</definedName>
    <definedName name="SAU_TOTALE_HORTI_PEPINIERE_N1_M05">Surfaces_Horti!$F$76</definedName>
    <definedName name="SAU_TOTALE_HORTI_PEPINIERE_N1_M06">Surfaces_Horti!$G$76</definedName>
    <definedName name="SAU_TOTALE_HORTI_PEPINIERE_N1_M07">Surfaces_Horti!$H$76</definedName>
    <definedName name="SAU_TOTALE_HORTI_PEPINIERE_N1_M08">Surfaces_Horti!$I$76</definedName>
    <definedName name="SAU_TOTALE_HORTI_PEPINIERE_N1_M09">Surfaces_Horti!$J$76</definedName>
    <definedName name="SAU_TOTALE_HORTI_PEPINIERE_N1_M10">Surfaces_Horti!$K$76</definedName>
    <definedName name="SAU_TOTALE_HORTI_PEPINIERE_N1_M11">Surfaces_Horti!$L$76</definedName>
    <definedName name="SAU_TOTALE_HORTI_PEPINIERE_N1_M12">Surfaces_Horti!$M$76</definedName>
    <definedName name="SAU_TOTALE_HORTI_PEPINIERE_N1_MOY">Surfaces_Horti!$N$76</definedName>
    <definedName name="SAU_TOTALE_HORTI_PEPINIERE_N2_M01">Surfaces_Horti!$B$113</definedName>
    <definedName name="SAU_TOTALE_HORTI_PEPINIERE_N2_M02">Surfaces_Horti!$C$113</definedName>
    <definedName name="SAU_TOTALE_HORTI_PEPINIERE_N2_M03">Surfaces_Horti!$D$113</definedName>
    <definedName name="SAU_TOTALE_HORTI_PEPINIERE_N2_M04">Surfaces_Horti!$E$113</definedName>
    <definedName name="SAU_TOTALE_HORTI_PEPINIERE_N2_M05">Surfaces_Horti!$F$113</definedName>
    <definedName name="SAU_TOTALE_HORTI_PEPINIERE_N2_M06">Surfaces_Horti!$G$113</definedName>
    <definedName name="SAU_TOTALE_HORTI_PEPINIERE_N2_M07">Surfaces_Horti!$H$113</definedName>
    <definedName name="SAU_TOTALE_HORTI_PEPINIERE_N2_M08">Surfaces_Horti!$I$113</definedName>
    <definedName name="SAU_TOTALE_HORTI_PEPINIERE_N2_M09">Surfaces_Horti!$J$113</definedName>
    <definedName name="SAU_TOTALE_HORTI_PEPINIERE_N2_M10">Surfaces_Horti!$K$113</definedName>
    <definedName name="SAU_TOTALE_HORTI_PEPINIERE_N2_M11">Surfaces_Horti!$L$113</definedName>
    <definedName name="SAU_TOTALE_HORTI_PEPINIERE_N2_M12">Surfaces_Horti!$M$113</definedName>
    <definedName name="SAU_TOTALE_HORTI_PEPINIERE_N2_MOY">Surfaces_Horti!$N$113</definedName>
    <definedName name="SEPARATION_CULTURE_MARAICHAGE_N">Surfaces!$O$41</definedName>
    <definedName name="SEPARATION_CULTURE_MARAICHAGE_N1">Surfaces!$P$41</definedName>
    <definedName name="SEPARATION_CULTURE_MARAICHAGE_N2">Surfaces!$Q$41</definedName>
    <definedName name="SEPARATION_CULTURE_PROD_SEMENCE_N">Surfaces!$O$40</definedName>
    <definedName name="SEPARATION_CULTURE_PROD_SEMENCE_N1">Surfaces!$P$40</definedName>
    <definedName name="SEPARATION_CULTURE_PROD_SEMENCE_N2">Surfaces!$Q$40</definedName>
    <definedName name="SIRET_EXPLOITATION">Identification!$F$38</definedName>
    <definedName name="SITE_INTERNET_EXPLOITATION">Identification!$F$49</definedName>
    <definedName name="SNA_N">Surfaces!$O$52</definedName>
    <definedName name="SNA_N1">Surfaces!$P$52</definedName>
    <definedName name="SNA_N2">Surfaces!$Q$52</definedName>
    <definedName name="SNE_N">Surfaces!$O$27</definedName>
    <definedName name="SNE_N1">Surfaces!$P$27</definedName>
    <definedName name="SNE_N2">Surfaces!$Q$27</definedName>
    <definedName name="SOJA_N">Surfaces!$O$89</definedName>
    <definedName name="SOJA_N1">Surfaces!$P$89</definedName>
    <definedName name="SOJA_N2">Surfaces!$Q$89</definedName>
    <definedName name="SOL_NU_N">Surfaces!$O$34</definedName>
    <definedName name="SOL_NU_N1">Surfaces!$P$34</definedName>
    <definedName name="SOL_NU_N2">Surfaces!$Q$34</definedName>
    <definedName name="SOLDE_MOYEN_BILAN">Fertilisation!$M$55</definedName>
    <definedName name="SOMME_AUTRES_CULTURES">Biodiversité!$L$148</definedName>
    <definedName name="SOMME_CULTURES_ARABLES">Biodiversité!$L$130</definedName>
    <definedName name="SOMME_PARCELLES_INF_6HA">Biodiversité!$P$82</definedName>
    <definedName name="STATUT_JURIDIQUE">Identification!$F$58</definedName>
    <definedName name="SUBST_ACT_PLAFOND_RETENU">Phyto!$Q$155</definedName>
    <definedName name="SUBST_ACT_PLANCHER_RETENU">Phyto!$Q$156</definedName>
    <definedName name="SUPERFICIE_TOTALE_IRRIGABLE">Irrigation!$K$12</definedName>
    <definedName name="SUPERFICIE_TOTALE_IRRIGUEE">Irrigation!$K$13</definedName>
    <definedName name="SURF_CULTURES_ANNUELLES_CONCERNEE">Phyto!$R$182</definedName>
    <definedName name="SURF_CULTURES_MINEURES">Fertilisation!$M$58</definedName>
    <definedName name="SURF_CULTURES_PERENNES_CONCERNEE">Phyto!$R$187</definedName>
    <definedName name="SURF_FOUILLES_N">Surfaces!$O$48</definedName>
    <definedName name="SURF_FOUILLES_N1">Surfaces!$P$48</definedName>
    <definedName name="SURF_FOUILLES_N2">Surfaces!$Q$48</definedName>
    <definedName name="SURF_HORS_SOL_NON_CULTIVEE_N_M01">Surfaces_Horti!$B$36</definedName>
    <definedName name="SURF_HORS_SOL_NON_CULTIVEE_N_M02">Surfaces_Horti!$C$36</definedName>
    <definedName name="SURF_HORS_SOL_NON_CULTIVEE_N_M03">Surfaces_Horti!$D$36</definedName>
    <definedName name="SURF_HORS_SOL_NON_CULTIVEE_N_M04">Surfaces_Horti!$E$36</definedName>
    <definedName name="SURF_HORS_SOL_NON_CULTIVEE_N_M05">Surfaces_Horti!$F$36</definedName>
    <definedName name="SURF_HORS_SOL_NON_CULTIVEE_N_M06">Surfaces_Horti!$G$36</definedName>
    <definedName name="SURF_HORS_SOL_NON_CULTIVEE_N_M07">Surfaces_Horti!$H$36</definedName>
    <definedName name="SURF_HORS_SOL_NON_CULTIVEE_N_M08">Surfaces_Horti!$I$36</definedName>
    <definedName name="SURF_HORS_SOL_NON_CULTIVEE_N_M09">Surfaces_Horti!$J$36</definedName>
    <definedName name="SURF_HORS_SOL_NON_CULTIVEE_N_M10">Surfaces_Horti!$K$36</definedName>
    <definedName name="SURF_HORS_SOL_NON_CULTIVEE_N_M11">Surfaces_Horti!$L$36</definedName>
    <definedName name="SURF_HORS_SOL_NON_CULTIVEE_N_M12">Surfaces_Horti!$M$36</definedName>
    <definedName name="SURF_HORS_SOL_NON_CULTIVEE_N_MOY">Surfaces_Horti!$N$36</definedName>
    <definedName name="SURF_HORS_SOL_NON_CULTIVEE_N1_M01">Surfaces_Horti!$B$73</definedName>
    <definedName name="SURF_HORS_SOL_NON_CULTIVEE_N1_M02">Surfaces_Horti!$C$73</definedName>
    <definedName name="SURF_HORS_SOL_NON_CULTIVEE_N1_M03">Surfaces_Horti!$D$73</definedName>
    <definedName name="SURF_HORS_SOL_NON_CULTIVEE_N1_M04">Surfaces_Horti!$E$73</definedName>
    <definedName name="SURF_HORS_SOL_NON_CULTIVEE_N1_M05">Surfaces_Horti!$F$73</definedName>
    <definedName name="SURF_HORS_SOL_NON_CULTIVEE_N1_M06">Surfaces_Horti!$G$73</definedName>
    <definedName name="SURF_HORS_SOL_NON_CULTIVEE_N1_M07">Surfaces_Horti!$H$73</definedName>
    <definedName name="SURF_HORS_SOL_NON_CULTIVEE_N1_M08">Surfaces_Horti!$I$73</definedName>
    <definedName name="SURF_HORS_SOL_NON_CULTIVEE_N1_M09">Surfaces_Horti!$J$73</definedName>
    <definedName name="SURF_HORS_SOL_NON_CULTIVEE_N1_M10">Surfaces_Horti!$K$73</definedName>
    <definedName name="SURF_HORS_SOL_NON_CULTIVEE_N1_M11">Surfaces_Horti!$L$73</definedName>
    <definedName name="SURF_HORS_SOL_NON_CULTIVEE_N1_M12">Surfaces_Horti!$M$73</definedName>
    <definedName name="SURF_HORS_SOL_NON_CULTIVEE_N1_MOY">Surfaces_Horti!$N$73</definedName>
    <definedName name="SURF_HORS_SOL_NON_CULTIVEE_N2_M01">Surfaces_Horti!$B$110</definedName>
    <definedName name="SURF_HORS_SOL_NON_CULTIVEE_N2_M02">Surfaces_Horti!$C$110</definedName>
    <definedName name="SURF_HORS_SOL_NON_CULTIVEE_N2_M03">Surfaces_Horti!$D$110</definedName>
    <definedName name="SURF_HORS_SOL_NON_CULTIVEE_N2_M04">Surfaces_Horti!$E$110</definedName>
    <definedName name="SURF_HORS_SOL_NON_CULTIVEE_N2_M05">Surfaces_Horti!$F$110</definedName>
    <definedName name="SURF_HORS_SOL_NON_CULTIVEE_N2_M06">Surfaces_Horti!$G$110</definedName>
    <definedName name="SURF_HORS_SOL_NON_CULTIVEE_N2_M07">Surfaces_Horti!$H$110</definedName>
    <definedName name="SURF_HORS_SOL_NON_CULTIVEE_N2_M08">Surfaces_Horti!$I$110</definedName>
    <definedName name="SURF_HORS_SOL_NON_CULTIVEE_N2_M09">Surfaces_Horti!$J$110</definedName>
    <definedName name="SURF_HORS_SOL_NON_CULTIVEE_N2_M10">Surfaces_Horti!$K$110</definedName>
    <definedName name="SURF_HORS_SOL_NON_CULTIVEE_N2_M11">Surfaces_Horti!$L$110</definedName>
    <definedName name="SURF_HORS_SOL_NON_CULTIVEE_N2_M12">Surfaces_Horti!$M$110</definedName>
    <definedName name="SURF_HORS_SOL_NON_CULTIVEE_N2_MOY">Surfaces_Horti!$N$110</definedName>
    <definedName name="SURF_HORTI_EQUIPEE">Fertilisation!$O$318</definedName>
    <definedName name="SURF_HORTICULTURE">Irrigation!$M$84</definedName>
    <definedName name="SURF_HS_RECYCL_TRAIT_PARTIEL">Fertilisation!$L$345</definedName>
    <definedName name="SURF_HS_RECYCL_TRAIT_TOTAL">Fertilisation!$L$344</definedName>
    <definedName name="SURF_IRRIGUEE">Irrigation!$K$33</definedName>
    <definedName name="SURF_IRRIGUEE_AVEC_MATERIEL">Irrigation!$J$118</definedName>
    <definedName name="SURF_IRRIGUEE_AVEC_PRATIQUES_AGRO">Irrigation!$L$154</definedName>
    <definedName name="SURF_LEGUMINEUSES_INTER_RANGS">Fertilisation!$N$238</definedName>
    <definedName name="SURF_PP_LEGUMINEUSES">Fertilisation!$N$236</definedName>
    <definedName name="SURF_PP_NON_TRAITEES">Phyto!$M$45</definedName>
    <definedName name="SURF_PRAIRIES_PERM">Biodiversité!$P$83</definedName>
    <definedName name="SURF_PROTEAGINEUX">Fertilisation!$N$233</definedName>
    <definedName name="SURF_REELLES_IAE">Phyto!$M$44</definedName>
    <definedName name="SURF_TOT_EXP_N">Surfaces!$O$23</definedName>
    <definedName name="SURF_TOT_EXP_N1">Surfaces!$P$23</definedName>
    <definedName name="SURF_TOT_EXP_N2">Surfaces!$Q$23</definedName>
    <definedName name="SURF_TOT_NON_CULTIVEE_N_M01">Surfaces_Horti!$B$35</definedName>
    <definedName name="SURF_TOT_NON_CULTIVEE_N_M02">Surfaces_Horti!$C$35</definedName>
    <definedName name="SURF_TOT_NON_CULTIVEE_N_M03">Surfaces_Horti!$D$35</definedName>
    <definedName name="SURF_TOT_NON_CULTIVEE_N_M04">Surfaces_Horti!$E$35</definedName>
    <definedName name="SURF_TOT_NON_CULTIVEE_N_M05">Surfaces_Horti!$F$35</definedName>
    <definedName name="SURF_TOT_NON_CULTIVEE_N_M06">Surfaces_Horti!$G$35</definedName>
    <definedName name="SURF_TOT_NON_CULTIVEE_N_M07">Surfaces_Horti!$H$35</definedName>
    <definedName name="SURF_TOT_NON_CULTIVEE_N_M08">Surfaces_Horti!$I$35</definedName>
    <definedName name="SURF_TOT_NON_CULTIVEE_N_M09">Surfaces_Horti!$J$35</definedName>
    <definedName name="SURF_TOT_NON_CULTIVEE_N_M10">Surfaces_Horti!$K$35</definedName>
    <definedName name="SURF_TOT_NON_CULTIVEE_N_M11">Surfaces_Horti!$L$35</definedName>
    <definedName name="SURF_TOT_NON_CULTIVEE_N_M12">Surfaces_Horti!$M$35</definedName>
    <definedName name="SURF_TOT_NON_CULTIVEE_N_MOY">Surfaces_Horti!$N$35</definedName>
    <definedName name="SURF_TOT_NON_CULTIVEE_N1_M01">Surfaces_Horti!$B$72</definedName>
    <definedName name="SURF_TOT_NON_CULTIVEE_N1_M02">Surfaces_Horti!$C$72</definedName>
    <definedName name="SURF_TOT_NON_CULTIVEE_N1_M03">Surfaces_Horti!$D$72</definedName>
    <definedName name="SURF_TOT_NON_CULTIVEE_N1_M04">Surfaces_Horti!$E$72</definedName>
    <definedName name="SURF_TOT_NON_CULTIVEE_N1_M05">Surfaces_Horti!$F$72</definedName>
    <definedName name="SURF_TOT_NON_CULTIVEE_N1_M06">Surfaces_Horti!$G$72</definedName>
    <definedName name="SURF_TOT_NON_CULTIVEE_N1_M07">Surfaces_Horti!$H$72</definedName>
    <definedName name="SURF_TOT_NON_CULTIVEE_N1_M08">Surfaces_Horti!$I$72</definedName>
    <definedName name="SURF_TOT_NON_CULTIVEE_N1_M09">Surfaces_Horti!$J$72</definedName>
    <definedName name="SURF_TOT_NON_CULTIVEE_N1_M10">Surfaces_Horti!$K$72</definedName>
    <definedName name="SURF_TOT_NON_CULTIVEE_N1_M11">Surfaces_Horti!$L$72</definedName>
    <definedName name="SURF_TOT_NON_CULTIVEE_N1_M12">Surfaces_Horti!$M$72</definedName>
    <definedName name="SURF_TOT_NON_CULTIVEE_N1_MOY">Surfaces_Horti!$N$72</definedName>
    <definedName name="SURF_TOT_NON_CULTIVEE_N2_M01">Surfaces_Horti!$B$109</definedName>
    <definedName name="SURF_TOT_NON_CULTIVEE_N2_M02">Surfaces_Horti!$C$109</definedName>
    <definedName name="SURF_TOT_NON_CULTIVEE_N2_M03">Surfaces_Horti!$D$109</definedName>
    <definedName name="SURF_TOT_NON_CULTIVEE_N2_M04">Surfaces_Horti!$E$109</definedName>
    <definedName name="SURF_TOT_NON_CULTIVEE_N2_M05">Surfaces_Horti!$F$109</definedName>
    <definedName name="SURF_TOT_NON_CULTIVEE_N2_M06">Surfaces_Horti!$G$109</definedName>
    <definedName name="SURF_TOT_NON_CULTIVEE_N2_M07">Surfaces_Horti!$H$109</definedName>
    <definedName name="SURF_TOT_NON_CULTIVEE_N2_M08">Surfaces_Horti!$I$109</definedName>
    <definedName name="SURF_TOT_NON_CULTIVEE_N2_M09">Surfaces_Horti!$J$109</definedName>
    <definedName name="SURF_TOT_NON_CULTIVEE_N2_M10">Surfaces_Horti!$K$109</definedName>
    <definedName name="SURF_TOT_NON_CULTIVEE_N2_M11">Surfaces_Horti!$L$109</definedName>
    <definedName name="SURF_TOT_NON_CULTIVEE_N2_M12">Surfaces_Horti!$M$109</definedName>
    <definedName name="SURF_TOT_NON_CULTIVEE_N2_MOY">Surfaces_Horti!$N$109</definedName>
    <definedName name="SURF_TOTALE_CULTURES_ANNUELLES">Phyto!$R$183</definedName>
    <definedName name="SURF_TOTALE_CULTURES_PERENNES">Phyto!$R$188</definedName>
    <definedName name="SURF_TOTALE_NON_TRAITEE">Phyto!$M$54</definedName>
    <definedName name="SURF_TRAVAUX_N">Surfaces!$O$47</definedName>
    <definedName name="SURF_TRAVAUX_N1">Surfaces!$P$47</definedName>
    <definedName name="SURF_TRAVAUX_N2">Surfaces!$Q$47</definedName>
    <definedName name="SURF_VIGNE_ARRACHEE_N">Surfaces!$O$50</definedName>
    <definedName name="SURF_VIGNE_ARRACHEE_N1">Surfaces!$P$50</definedName>
    <definedName name="SURF_VIGNE_ARRACHEE_N2">Surfaces!$Q$50</definedName>
    <definedName name="SURFACE_COUVERTE_HORTI_PEPI">Fertilisation!$O$283</definedName>
    <definedName name="SURFACE_CULTURE_PRINCIPALE">Biodiversité!$N$105</definedName>
    <definedName name="SURVEILLANCE_ACTIVE_POURCENTAGE_CONCERNE">Phyto!$R$194</definedName>
    <definedName name="TEST_BECHE">Biodiversité!$O$243</definedName>
    <definedName name="TOT_NB_ESPECES">Biodiversité!$L$152</definedName>
    <definedName name="TOTAL_ARBORICULTURE_N">Surfaces!$O$160</definedName>
    <definedName name="TOTAL_ARBORICULTURE_N1">Surfaces!$P$160</definedName>
    <definedName name="TOTAL_ARBORICULTURE_N2">Surfaces!$Q$160</definedName>
    <definedName name="TOTAL_CEREALES_N">Surfaces!$O$84</definedName>
    <definedName name="TOTAL_CEREALES_N1">Surfaces!$P$84</definedName>
    <definedName name="TOTAL_CEREALES_N2">Surfaces!$Q$84</definedName>
    <definedName name="TOTAL_CMR">Phyto!$P$25</definedName>
    <definedName name="TOTAL_CP_GC">Fertilisation!$P$173</definedName>
    <definedName name="TOTAL_CP_VAM">Fertilisation!$P$179</definedName>
    <definedName name="TOTAL_CULTURES_INDUSTRIELLES_N">Surfaces!$O$130</definedName>
    <definedName name="TOTAL_CULTURES_INDUSTRIELLES_N1">Surfaces!$P$130</definedName>
    <definedName name="TOTAL_CULTURES_INDUSTRIELLES_N2">Surfaces!$Q$130</definedName>
    <definedName name="TOTAL_ESPECES_ELEVEES">Biodiversité!$I$180</definedName>
    <definedName name="TOTAL_FIBRES_JACHERES_N">Surfaces!$O$106</definedName>
    <definedName name="TOTAL_FIBRES_JACHERES_N1">Surfaces!$P$106</definedName>
    <definedName name="TOTAL_FIBRES_JACHERES_N2">Surfaces!$Q$106</definedName>
    <definedName name="TOTAL_FOURRAGES_N">Surfaces!$O$112</definedName>
    <definedName name="TOTAL_FOURRAGES_N1">Surfaces!$P$112</definedName>
    <definedName name="TOTAL_FOURRAGES_N2">Surfaces!$Q$112</definedName>
    <definedName name="TOTAL_LEGUMES_FLEURS_FRUITS_N">Surfaces!$O$138</definedName>
    <definedName name="TOTAL_LEGUMES_FLEURS_FRUITS_N1">Surfaces!$P$138</definedName>
    <definedName name="TOTAL_LEGUMES_FLEURS_FRUITS_N2">Surfaces!$Q$138</definedName>
    <definedName name="TOTAL_MAX_POINTS">Phyto!$O$124</definedName>
    <definedName name="TOTAL_OLEAGINEUX_N">Surfaces!$O$91</definedName>
    <definedName name="TOTAL_OLEAGINEUX_N1">Surfaces!$P$91</definedName>
    <definedName name="TOTAL_OLEAGINEUX_N2">Surfaces!$Q$91</definedName>
    <definedName name="TOTAL_PROTEAGINEUX_LEGUMINEUSES_N">Surfaces!$O$98</definedName>
    <definedName name="TOTAL_PROTEAGINEUX_LEGUMINEUSES_N1">Surfaces!$P$98</definedName>
    <definedName name="TOTAL_PROTEAGINEUX_LEGUMINEUSES_N2">Surfaces!$Q$98</definedName>
    <definedName name="TOTAL_RESULTAT">Phyto!$M$124</definedName>
    <definedName name="TOTAL_RUCHES">Biodiversité!$I$199</definedName>
    <definedName name="TOTAL_SAU_HORS_VITI_ARBO_HORTI">Fertilisation!$O$288</definedName>
    <definedName name="TOTAL_SURF">Phyto!$K$123</definedName>
    <definedName name="TOTAL_SURF_ARBO_CULTURES_PERENNES">Phyto!$J$326</definedName>
    <definedName name="TOTAL_SURF_BLE">Fertilisation!$N$160</definedName>
    <definedName name="TOTAL_SURF_GC">Fertilisation!$N$161</definedName>
    <definedName name="TOTAL_SURF_HORTI_HORS_PEPI">Phyto!$J$327</definedName>
    <definedName name="TOTAL_SURF_LEGUMINEUSES">Fertilisation!$N$242</definedName>
    <definedName name="TOTAL_SURF_VIGNE_ARBO_MARAICHAGE">Fertilisation!$N$162</definedName>
    <definedName name="TOTAL_SURFACE_LEG">Fertilisation!$N$241</definedName>
    <definedName name="TOTAL_SURFACES_HERBE_N">Surfaces!$O$123</definedName>
    <definedName name="TOTAL_SURFACES_HERBE_N1">Surfaces!$P$123</definedName>
    <definedName name="TOTAL_SURFACES_HERBE_N2">Surfaces!$Q$123</definedName>
    <definedName name="TOTAL_SURFACES_NON_FERTILISEES">Fertilisation!$J$214</definedName>
    <definedName name="TOURNESOL_N">Surfaces!$O$88</definedName>
    <definedName name="TOURNESOL_N1">Surfaces!$P$88</definedName>
    <definedName name="TOURNESOL_N2">Surfaces!$Q$88</definedName>
    <definedName name="TOURNIERE_N">Surfaces!$O$37</definedName>
    <definedName name="TOURNIERE_N1">Surfaces!$P$37</definedName>
    <definedName name="TOURNIERE_N2">Surfaces!$Q$37</definedName>
    <definedName name="TOUTES_CULTURES_HORS_SOL_N">Surfaces!$O$137</definedName>
    <definedName name="TOUTES_CULTURES_HORS_SOL_N1">Surfaces!$P$137</definedName>
    <definedName name="TOUTES_CULTURES_HORS_SOL_N2">Surfaces!$Q$137</definedName>
    <definedName name="TRITICALE_N">Surfaces!$O$81</definedName>
    <definedName name="TRITICALE_N1">Surfaces!$P$81</definedName>
    <definedName name="TRITICALE_N2">Surfaces!$Q$81</definedName>
    <definedName name="TYPE_AUDIT">Identification!$F$16</definedName>
    <definedName name="TYPE_CERTIF">Identification!$E$12</definedName>
    <definedName name="UTILISATION_CMR1">Phyto!$L$11</definedName>
    <definedName name="UTILISATION_HERBICIDES_CMR2">Phyto!$M$22</definedName>
    <definedName name="UTILISATION_NON_HERBICIDES_CMR2">Phyto!$M$23</definedName>
    <definedName name="V_ACTIVITE_PRINCIPALE">Identification!$H$63</definedName>
    <definedName name="V_ACTIVITE_SECOND">Identification!$H$65</definedName>
    <definedName name="V_AUTRE_ACTIVITE">Identification!$H$67</definedName>
    <definedName name="VARIETE_IRRIGUEE">Irrigation!$K$41</definedName>
    <definedName name="VEGETAUX_NATURELS_N">Surfaces!$O$55</definedName>
    <definedName name="VEGETAUX_NATURELS_N1">Surfaces!$P$55</definedName>
    <definedName name="VEGETAUX_NATURELS_N2">Surfaces!$Q$55</definedName>
    <definedName name="VENTE_DIRECTE">Identification!$F$74</definedName>
    <definedName name="VERGER_CHOIX01">Surfaces!$E$145</definedName>
    <definedName name="VERGER_CHOIX01_N">Surfaces!$O$145</definedName>
    <definedName name="VERGER_CHOIX01_N1">Surfaces!$P$145</definedName>
    <definedName name="VERGER_CHOIX01_N2">Surfaces!$Q$145</definedName>
    <definedName name="VERGER_CHOIX02">Surfaces!$E$146</definedName>
    <definedName name="VERGER_CHOIX02_N">Surfaces!$O$146</definedName>
    <definedName name="VERGER_CHOIX02_N1">Surfaces!$P$146</definedName>
    <definedName name="VERGER_CHOIX02_N2">Surfaces!$Q$146</definedName>
    <definedName name="VERGER_CHOIX03">Surfaces!$E$147</definedName>
    <definedName name="VERGER_CHOIX03_N">Surfaces!$O$147</definedName>
    <definedName name="VERGER_CHOIX03_N1">Surfaces!$P$147</definedName>
    <definedName name="VERGER_CHOIX03_N2">Surfaces!$Q$147</definedName>
    <definedName name="VERGER_CHOIX04">Surfaces!$E$148</definedName>
    <definedName name="VERGER_CHOIX04_N">Surfaces!$O$148</definedName>
    <definedName name="VERGER_CHOIX04_N1">Surfaces!$P$148</definedName>
    <definedName name="VERGER_CHOIX04_N2">Surfaces!$Q$148</definedName>
    <definedName name="VERGER_CHOIX05">Surfaces!$E$149</definedName>
    <definedName name="VERGER_CHOIX05_N">Surfaces!$O$149</definedName>
    <definedName name="VERGER_CHOIX05_N1">Surfaces!$P$149</definedName>
    <definedName name="VERGER_CHOIX05_N2">Surfaces!$Q$149</definedName>
    <definedName name="VERGER_CHOIX06">Surfaces!$E$150</definedName>
    <definedName name="VERGER_CHOIX06_N">Surfaces!$O$150</definedName>
    <definedName name="VERGER_CHOIX06_N1">Surfaces!$P$150</definedName>
    <definedName name="VERGER_CHOIX06_N2">Surfaces!$Q$150</definedName>
    <definedName name="VERGER_CHOIX07">Surfaces!$E$151</definedName>
    <definedName name="VERGER_CHOIX07_N">Surfaces!$O$151</definedName>
    <definedName name="VERGER_CHOIX07_N1">Surfaces!$P$151</definedName>
    <definedName name="VERGER_CHOIX07_N2">Surfaces!$Q$151</definedName>
    <definedName name="VERGER_CHOIX08">Surfaces!$E$152</definedName>
    <definedName name="VERGER_CHOIX08_N">Surfaces!$O$152</definedName>
    <definedName name="VERGER_CHOIX08_N1">Surfaces!$P$152</definedName>
    <definedName name="VERGER_CHOIX08_N2">Surfaces!$Q$152</definedName>
    <definedName name="VERGER_CHOIX09">Surfaces!$E$153</definedName>
    <definedName name="VERGER_CHOIX09_N">Surfaces!$O$153</definedName>
    <definedName name="VERGER_CHOIX09_N1">Surfaces!$P$153</definedName>
    <definedName name="VERGER_CHOIX09_N2">Surfaces!$Q$153</definedName>
    <definedName name="VERGER_CHOIX10">Surfaces!$E$154</definedName>
    <definedName name="VERGER_CHOIX10_N">Surfaces!$O$154</definedName>
    <definedName name="VERGER_CHOIX10_N1">Surfaces!$P$154</definedName>
    <definedName name="VERGER_CHOIX10_N2">Surfaces!$Q$154</definedName>
    <definedName name="VERGER_CHOIX11">Surfaces!$E$155</definedName>
    <definedName name="VERGER_CHOIX11_N">Surfaces!$O$155</definedName>
    <definedName name="VERGER_CHOIX11_N1">Surfaces!$P$155</definedName>
    <definedName name="VERGER_CHOIX11_N2">Surfaces!$Q$155</definedName>
    <definedName name="VERGER_CHOIX12">Surfaces!$E$156</definedName>
    <definedName name="VERGER_CHOIX12_N">Surfaces!$O$156</definedName>
    <definedName name="VERGER_CHOIX12_N1">Surfaces!$P$156</definedName>
    <definedName name="VERGER_CHOIX12_N2">Surfaces!$Q$156</definedName>
    <definedName name="VERGER_CHOIX13">Surfaces!$E$157</definedName>
    <definedName name="VERGER_CHOIX13_N">Surfaces!$O$157</definedName>
    <definedName name="VERGER_CHOIX13_N1">Surfaces!$P$157</definedName>
    <definedName name="VERGER_CHOIX13_N2">Surfaces!$Q$157</definedName>
    <definedName name="VERGER_CHOIX14">Surfaces!$E$158</definedName>
    <definedName name="VERGER_CHOIX14_N">Surfaces!$O$158</definedName>
    <definedName name="VERGER_CHOIX14_N1">Surfaces!$P$158</definedName>
    <definedName name="VERGER_CHOIX14_N2">Surfaces!$Q$158</definedName>
    <definedName name="VERGER_CHOIX15">Surfaces!$E$159</definedName>
    <definedName name="VERGER_CHOIX15_N">Surfaces!$O$159</definedName>
    <definedName name="VERGER_CHOIX15_N1">Surfaces!$P$159</definedName>
    <definedName name="VERGER_CHOIX15_N2">Surfaces!$Q$159</definedName>
    <definedName name="VERGER_CONV_SURF">Biodiversité!$Y$29</definedName>
    <definedName name="VERGER_REEL_SURF">Biodiversité!$R$29</definedName>
    <definedName name="VERGER_UNITE">Biodiversité!$T$29</definedName>
    <definedName name="VERSION_REFERENTIEL">'Suivi modif'!$A$5</definedName>
    <definedName name="VERSION_TRAME">'Suivi modif'!$B$5</definedName>
    <definedName name="VIGNE_ANC_PLAFOND_IFT_HERBICIDES">Phyto!$N$87</definedName>
    <definedName name="VIGNE_ANC_PLAFOND_IFT_HORS_HERBICIDES">Phyto!$N$88</definedName>
    <definedName name="VIGNE_ANC_PLANCHER_IFT_HERBICIDES">Phyto!$P$87</definedName>
    <definedName name="VIGNE_ANC_PLANCHER_IFT_HORS_HERBICIDES">Phyto!$P$88</definedName>
    <definedName name="VIGNE_ANCIENNE_NOTATION">Phyto!$M$115</definedName>
    <definedName name="VIGNE_CONDITION_ANCIENNE_NOTATION">Phyto!$O$109</definedName>
    <definedName name="VIGNE_IFT_REALISE_HERBICIDES">Phyto!$N$105</definedName>
    <definedName name="VIGNE_IFT_REALISE_HORS_HERBICIDES">Phyto!$N$106</definedName>
    <definedName name="VIGNE_IFT_REALISE_N_HERBICIDES">Phyto!$N$99</definedName>
    <definedName name="VIGNE_IFT_REALISE_N_HORS_HERBICIDES">Phyto!$N$100</definedName>
    <definedName name="VIGNE_IFT_REALISE_N1_HERBICIDES">Phyto!$N$101</definedName>
    <definedName name="VIGNE_IFT_REALISE_N1_HORS_HERBICIDES">Phyto!$N$102</definedName>
    <definedName name="VIGNE_IFT_REALISE_N2_HERBICIDES">Phyto!$N$103</definedName>
    <definedName name="VIGNE_IFT_REALISE_N2_HORS_HERBICIDES">Phyto!$N$104</definedName>
    <definedName name="VIGNE_MAX_POINTS">Phyto!$O$120</definedName>
    <definedName name="VIGNE_PLAFOND_IFT_HERBICIDES">Phyto!$J$87</definedName>
    <definedName name="VIGNE_PLAFOND_IFT_HORS_HERBICIDES">Phyto!$J$88</definedName>
    <definedName name="VIGNE_PLANCHER_IFT_HERBICIDES">Phyto!$L$87</definedName>
    <definedName name="VIGNE_PLANCHER_IFT_HORS_HERBICIDES">Phyto!$L$88</definedName>
    <definedName name="VIGNE_POURCENTAGE_SURF_CONCERNEE_PPF">Fertilisation!$N$176</definedName>
    <definedName name="VIGNE_POURCENTAGE_SURF_CONCERNEE_PPF_AJ_ODP">Fertilisation!$N$177</definedName>
    <definedName name="VIGNE_RESULTAT">Phyto!$M$120</definedName>
    <definedName name="VIGNE_RESULTAT_ANC_NOTATION_HERBICIDES">Phyto!$M$111</definedName>
    <definedName name="VIGNE_RESULTAT_ANC_NOTATION_HORS_HERBICIDES">Phyto!$M$112</definedName>
    <definedName name="VIGNE_RESULTAT_HERBICIDES">Phyto!$M$109</definedName>
    <definedName name="VIGNE_RESULTAT_HORS_HERBICIDES">Phyto!$M$110</definedName>
    <definedName name="VIGNE_RESULTAT_PPF">Fertilisation!$P$176</definedName>
    <definedName name="VIGNE_RESULTAT_PPF_AJ_ODP">Fertilisation!$P$177</definedName>
    <definedName name="VIGNE_SURF">Phyto!$K$120</definedName>
    <definedName name="VIGNE_SURF_UTILISATION_ODP">Fertilisation!$L$148</definedName>
    <definedName name="VIGNE_SURF_UTILISATION_PPF">Fertilisation!$L$146</definedName>
    <definedName name="VIGNE_SURF_UTILISATION_PPF_AJ">Fertilisation!$L$147</definedName>
    <definedName name="VIGNES_N">Surfaces!$O$142</definedName>
    <definedName name="VIGNES_N1">Surfaces!$P$142</definedName>
    <definedName name="VIGNES_N2">Surfaces!$Q$142</definedName>
    <definedName name="VOL_PRELEVE_ETIAGE">Irrigation!$K$178</definedName>
    <definedName name="VOL_PRELEVE_HORS_ETIAGE">Irrigation!$K$177</definedName>
    <definedName name="VOL_TOTAL_EAU">Irrigation!$K$189</definedName>
    <definedName name="ZDH_N">Surfaces!$O$60</definedName>
    <definedName name="ZDH_N1">Surfaces!$P$60</definedName>
    <definedName name="ZDH_N2">Surfaces!$Q$60</definedName>
    <definedName name="_xlnm.Print_Area" localSheetId="9">SYNTHESE!$A$1:$AC$78</definedName>
    <definedName name="ZONE_STOCKAGE_N">Surfaces!$O$30</definedName>
    <definedName name="ZONE_STOCKAGE_N1">Surfaces!$P$30</definedName>
    <definedName name="ZONE_STOCKAGE_N2">Surfaces!$Q$30</definedName>
    <definedName name="ZONE_VULNERABLE_COUVERTE">Fertilisation!$O$273</definedName>
    <definedName name="ZONE_VULNERABLE_NB_SEMAINES_COUVERT">Fertilisation!$O$274</definedName>
    <definedName name="ZONE_VULNERABLE_POURCENT_SAU_HORS_VITI_ARBO_HORTI">Fertilisation!$O$295</definedName>
    <definedName name="ZONE_VULNERABLE_POURCENT_SURF_HORS_VITI_ARBO_HORTI">Fertilisation!$O$289</definedName>
    <definedName name="ZONE_VULNERABLE_RESPECT_DUREE_REGLEMENTAIRE">Fertilisation!$O$266</definedName>
    <definedName name="ZONE_VULNERABLE_SURF_TOTALE_CONCERNEE">Fertilisation!$O$272</definedName>
    <definedName name="ZONES_HERBACEES_CONV_SURF">Biodiversité!$Y$32</definedName>
    <definedName name="ZONES_HERBACEES_REEL_SURF">Biodiversité!$R$32</definedName>
    <definedName name="ZONES_HERBACEES_UNITE">Biodiversité!$T$32</definedName>
    <definedName name="ZONES_HUMIDES_CONV_SURF">Biodiversité!$Y$28</definedName>
    <definedName name="ZONES_HUMIDES_REEL_SURF">Biodiversité!$R$28</definedName>
    <definedName name="ZONES_HUMIDES_UNITE">Biodiversité!$T$28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W7" i="26" l="1"/>
  <c r="HX7" i="26"/>
  <c r="ID7" i="26"/>
  <c r="R42" i="3" l="1"/>
  <c r="K121" i="6" l="1"/>
  <c r="K120" i="6"/>
  <c r="D116" i="6"/>
  <c r="O11" i="6" l="1"/>
  <c r="O293" i="7" l="1"/>
  <c r="Q293" i="7" s="1"/>
  <c r="J330" i="6"/>
  <c r="L330" i="6" s="1"/>
  <c r="J329" i="6"/>
  <c r="J328" i="6"/>
  <c r="J109" i="6" l="1"/>
  <c r="M16" i="3" l="1"/>
  <c r="U14" i="3" s="1"/>
  <c r="M10" i="8"/>
  <c r="O58" i="7"/>
  <c r="M63" i="3"/>
  <c r="G63" i="3"/>
  <c r="J58" i="3"/>
  <c r="E58" i="3"/>
  <c r="W49" i="3"/>
  <c r="Y38" i="3"/>
  <c r="T40" i="3"/>
  <c r="J40" i="3"/>
  <c r="M36" i="3"/>
  <c r="M27" i="3"/>
  <c r="H25" i="3"/>
  <c r="M21" i="3"/>
  <c r="M18" i="3"/>
  <c r="E18" i="3"/>
  <c r="L12" i="3"/>
  <c r="E12" i="3"/>
  <c r="H10" i="3"/>
  <c r="I16" i="3" l="1"/>
  <c r="P81" i="10"/>
  <c r="F83" i="10"/>
  <c r="U12" i="3"/>
  <c r="HQ7" i="26"/>
  <c r="X83" i="3"/>
  <c r="Y67" i="3"/>
  <c r="Y65" i="3"/>
  <c r="Y63" i="3"/>
  <c r="M67" i="3"/>
  <c r="M65" i="3"/>
  <c r="P106" i="6"/>
  <c r="P105" i="6"/>
  <c r="N106" i="6"/>
  <c r="N105" i="6"/>
  <c r="HJ7" i="26" l="1"/>
  <c r="CQ7" i="26" l="1"/>
  <c r="FR7" i="26"/>
  <c r="EG7" i="26"/>
  <c r="DB7" i="26"/>
  <c r="DA7" i="26"/>
  <c r="CZ7" i="26"/>
  <c r="CP7" i="26"/>
  <c r="CC7" i="26"/>
  <c r="AJ7" i="26"/>
  <c r="AI7" i="26"/>
  <c r="AH7" i="26"/>
  <c r="AG7" i="26"/>
  <c r="AF7" i="26"/>
  <c r="AE7" i="26"/>
  <c r="AD7" i="26"/>
  <c r="AC7" i="26"/>
  <c r="AB7" i="26"/>
  <c r="AA7" i="26"/>
  <c r="Y7" i="26"/>
  <c r="X7" i="26"/>
  <c r="W7" i="26"/>
  <c r="V7" i="26"/>
  <c r="U7" i="26"/>
  <c r="T7" i="26"/>
  <c r="S7" i="26"/>
  <c r="R7" i="26"/>
  <c r="Q7" i="26"/>
  <c r="P7" i="26"/>
  <c r="O7" i="26"/>
  <c r="N7" i="26"/>
  <c r="M7" i="26"/>
  <c r="J7" i="26"/>
  <c r="I7" i="26"/>
  <c r="H7" i="26"/>
  <c r="G7" i="26"/>
  <c r="F7" i="26"/>
  <c r="D7" i="26"/>
  <c r="E7" i="26"/>
  <c r="C7" i="26"/>
  <c r="B7" i="26"/>
  <c r="A7" i="26"/>
  <c r="R103" i="6" l="1"/>
  <c r="R101" i="6"/>
  <c r="HP7" i="26"/>
  <c r="HO7" i="26"/>
  <c r="HM7" i="26"/>
  <c r="HN7" i="26"/>
  <c r="P92" i="6" l="1"/>
  <c r="P91" i="6"/>
  <c r="N92" i="6"/>
  <c r="R112" i="6" s="1"/>
  <c r="N91" i="6"/>
  <c r="R111" i="6" s="1"/>
  <c r="I6" i="1" l="1"/>
  <c r="K14" i="8" l="1"/>
  <c r="GM7" i="26" s="1"/>
  <c r="N176" i="7"/>
  <c r="N168" i="7" l="1"/>
  <c r="P168" i="7" s="1"/>
  <c r="P160" i="4" l="1"/>
  <c r="Q160" i="4"/>
  <c r="O160" i="4"/>
  <c r="P138" i="4"/>
  <c r="Q138" i="4"/>
  <c r="O138" i="4"/>
  <c r="P130" i="4"/>
  <c r="Q130" i="4"/>
  <c r="O130" i="4"/>
  <c r="P123" i="4"/>
  <c r="Q123" i="4"/>
  <c r="O123" i="4"/>
  <c r="P112" i="4"/>
  <c r="Q112" i="4"/>
  <c r="O112" i="4"/>
  <c r="P106" i="4"/>
  <c r="Q106" i="4"/>
  <c r="O106" i="4"/>
  <c r="O98" i="4"/>
  <c r="Q98" i="4"/>
  <c r="P98" i="4"/>
  <c r="P91" i="4"/>
  <c r="Q91" i="4"/>
  <c r="O91" i="4"/>
  <c r="P84" i="4"/>
  <c r="Q84" i="4"/>
  <c r="O84" i="4"/>
  <c r="K119" i="6" l="1"/>
  <c r="AK71" i="6"/>
  <c r="AJ91" i="6"/>
  <c r="AK70" i="6"/>
  <c r="AM71" i="6"/>
  <c r="AJ90" i="6"/>
  <c r="AJ70" i="6"/>
  <c r="AM70" i="6"/>
  <c r="AJ71" i="6"/>
  <c r="AL71" i="6"/>
  <c r="AL70" i="6"/>
  <c r="AL72" i="6"/>
  <c r="AK73" i="6"/>
  <c r="AJ73" i="6"/>
  <c r="AL73" i="6"/>
  <c r="AK72" i="6"/>
  <c r="AM73" i="6"/>
  <c r="AJ93" i="6"/>
  <c r="AM72" i="6"/>
  <c r="AJ72" i="6"/>
  <c r="AJ92" i="6"/>
  <c r="AJ88" i="6"/>
  <c r="AJ89" i="6"/>
  <c r="O165" i="4"/>
  <c r="O25" i="4" s="1"/>
  <c r="K122" i="6" s="1"/>
  <c r="Q165" i="4"/>
  <c r="P165" i="4"/>
  <c r="I84" i="10"/>
  <c r="J106" i="6" l="1"/>
  <c r="HL7" i="26" s="1"/>
  <c r="P44" i="6"/>
  <c r="O121" i="6"/>
  <c r="O119" i="6"/>
  <c r="O120" i="6"/>
  <c r="AL7" i="26"/>
  <c r="AO7" i="26"/>
  <c r="AN7" i="26"/>
  <c r="J105" i="6"/>
  <c r="N240" i="7"/>
  <c r="HK7" i="26" l="1"/>
  <c r="R44" i="3"/>
  <c r="K7" i="26" s="1"/>
  <c r="D266" i="6"/>
  <c r="EH7" i="26" s="1"/>
  <c r="P23" i="6"/>
  <c r="P22" i="6"/>
  <c r="S11" i="6"/>
  <c r="V10" i="10"/>
  <c r="O10" i="3" l="1"/>
  <c r="O9" i="3"/>
  <c r="U146" i="4"/>
  <c r="U147" i="4"/>
  <c r="U148" i="4"/>
  <c r="U149" i="4"/>
  <c r="U150" i="4"/>
  <c r="U151" i="4"/>
  <c r="U152" i="4"/>
  <c r="U153" i="4"/>
  <c r="U154" i="4"/>
  <c r="U155" i="4"/>
  <c r="U156" i="4"/>
  <c r="U157" i="4"/>
  <c r="U158" i="4"/>
  <c r="U159" i="4"/>
  <c r="U145" i="4"/>
  <c r="L349" i="7" l="1"/>
  <c r="HV7" i="26" s="1"/>
  <c r="O344" i="7" l="1"/>
  <c r="O345" i="7"/>
  <c r="L350" i="7"/>
  <c r="L351" i="7"/>
  <c r="N351" i="7" l="1"/>
  <c r="N350" i="7"/>
  <c r="I7" i="1"/>
  <c r="M8" i="29" l="1"/>
  <c r="B8" i="29"/>
  <c r="G3" i="29"/>
  <c r="F3" i="29"/>
  <c r="E3" i="29"/>
  <c r="D3" i="29"/>
  <c r="C3" i="29"/>
  <c r="B3" i="29"/>
  <c r="L210" i="8"/>
  <c r="L209" i="8"/>
  <c r="N110" i="5" l="1"/>
  <c r="P171" i="7"/>
  <c r="C11" i="25" l="1"/>
  <c r="F13" i="25" s="1"/>
  <c r="F14" i="25" s="1"/>
  <c r="F15" i="25" s="1"/>
  <c r="Z7" i="26"/>
  <c r="HI7" i="26"/>
  <c r="HF7" i="26"/>
  <c r="GZ7" i="26"/>
  <c r="GS7" i="26"/>
  <c r="GR7" i="26"/>
  <c r="GQ7" i="26"/>
  <c r="GN7" i="26"/>
  <c r="GL7" i="26"/>
  <c r="GF7" i="26"/>
  <c r="GE7" i="26"/>
  <c r="GD7" i="26"/>
  <c r="GA7" i="26"/>
  <c r="FZ7" i="26"/>
  <c r="FY7" i="26"/>
  <c r="FD7" i="26"/>
  <c r="FB7" i="26"/>
  <c r="DW7" i="26"/>
  <c r="DV7" i="26"/>
  <c r="DL7" i="26"/>
  <c r="DK7" i="26"/>
  <c r="DJ7" i="26"/>
  <c r="DI7" i="26"/>
  <c r="DH7" i="26"/>
  <c r="DG7" i="26"/>
  <c r="DF7" i="26"/>
  <c r="DE7" i="26"/>
  <c r="CX7" i="26"/>
  <c r="CW7" i="26"/>
  <c r="CV7" i="26"/>
  <c r="CT7" i="26"/>
  <c r="CS7" i="26"/>
  <c r="CA7" i="26"/>
  <c r="C3" i="25"/>
  <c r="L5" i="25" s="1"/>
  <c r="L6" i="25" s="1"/>
  <c r="L7" i="25" s="1"/>
  <c r="V44" i="7"/>
  <c r="V46" i="7" s="1"/>
  <c r="S44" i="7"/>
  <c r="S46" i="7" s="1"/>
  <c r="P44" i="7"/>
  <c r="P46" i="7" s="1"/>
  <c r="V23" i="7"/>
  <c r="V25" i="7" s="1"/>
  <c r="S23" i="7"/>
  <c r="S25" i="7" s="1"/>
  <c r="P23" i="7"/>
  <c r="P25" i="7" s="1"/>
  <c r="L13" i="25" l="1"/>
  <c r="L14" i="25" s="1"/>
  <c r="L15" i="25" s="1"/>
  <c r="K13" i="25"/>
  <c r="K14" i="25" s="1"/>
  <c r="K15" i="25" s="1"/>
  <c r="E13" i="25"/>
  <c r="E14" i="25" s="1"/>
  <c r="E15" i="25" s="1"/>
  <c r="C13" i="25"/>
  <c r="C14" i="25" s="1"/>
  <c r="C15" i="25" s="1"/>
  <c r="J13" i="25"/>
  <c r="J14" i="25" s="1"/>
  <c r="J15" i="25" s="1"/>
  <c r="M13" i="25"/>
  <c r="M14" i="25" s="1"/>
  <c r="M15" i="25" s="1"/>
  <c r="D13" i="25"/>
  <c r="D14" i="25" s="1"/>
  <c r="D15" i="25" s="1"/>
  <c r="I13" i="25"/>
  <c r="I14" i="25" s="1"/>
  <c r="I15" i="25" s="1"/>
  <c r="P13" i="25"/>
  <c r="P14" i="25" s="1"/>
  <c r="P15" i="25" s="1"/>
  <c r="H13" i="25"/>
  <c r="H14" i="25" s="1"/>
  <c r="H15" i="25" s="1"/>
  <c r="O13" i="25"/>
  <c r="O14" i="25" s="1"/>
  <c r="O15" i="25" s="1"/>
  <c r="G13" i="25"/>
  <c r="G14" i="25" s="1"/>
  <c r="G15" i="25" s="1"/>
  <c r="N13" i="25"/>
  <c r="N14" i="25" s="1"/>
  <c r="N15" i="25" s="1"/>
  <c r="G5" i="25"/>
  <c r="G6" i="25" s="1"/>
  <c r="G7" i="25" s="1"/>
  <c r="O5" i="25"/>
  <c r="O6" i="25" s="1"/>
  <c r="O7" i="25" s="1"/>
  <c r="H5" i="25"/>
  <c r="H6" i="25" s="1"/>
  <c r="H7" i="25" s="1"/>
  <c r="P5" i="25"/>
  <c r="P6" i="25" s="1"/>
  <c r="P7" i="25" s="1"/>
  <c r="I5" i="25"/>
  <c r="I6" i="25" s="1"/>
  <c r="I7" i="25" s="1"/>
  <c r="J5" i="25"/>
  <c r="J6" i="25" s="1"/>
  <c r="J7" i="25" s="1"/>
  <c r="E5" i="25"/>
  <c r="E6" i="25" s="1"/>
  <c r="E7" i="25" s="1"/>
  <c r="N5" i="25"/>
  <c r="N6" i="25" s="1"/>
  <c r="N7" i="25" s="1"/>
  <c r="C5" i="25"/>
  <c r="C6" i="25" s="1"/>
  <c r="C7" i="25" s="1"/>
  <c r="K5" i="25"/>
  <c r="K6" i="25" s="1"/>
  <c r="K7" i="25" s="1"/>
  <c r="M5" i="25"/>
  <c r="M6" i="25" s="1"/>
  <c r="M7" i="25" s="1"/>
  <c r="F5" i="25"/>
  <c r="F6" i="25" s="1"/>
  <c r="F7" i="25" s="1"/>
  <c r="D5" i="25"/>
  <c r="D6" i="25" s="1"/>
  <c r="D7" i="25" s="1"/>
  <c r="Q15" i="25" l="1"/>
  <c r="U16" i="3" s="1"/>
  <c r="Q7" i="25"/>
  <c r="J38" i="3" s="1"/>
  <c r="AI288" i="7"/>
  <c r="N177" i="7"/>
  <c r="P177" i="7" s="1"/>
  <c r="P176" i="7"/>
  <c r="N170" i="7"/>
  <c r="N169" i="7"/>
  <c r="R198" i="6"/>
  <c r="DZ7" i="26" s="1"/>
  <c r="P179" i="7" l="1"/>
  <c r="FN7" i="26" s="1"/>
  <c r="J207" i="7"/>
  <c r="FQ7" i="26" l="1"/>
  <c r="J214" i="7"/>
  <c r="J326" i="6"/>
  <c r="R183" i="6"/>
  <c r="R184" i="6" s="1"/>
  <c r="N21" i="23" l="1"/>
  <c r="T47" i="5"/>
  <c r="L229" i="5"/>
  <c r="I180" i="5" l="1"/>
  <c r="CL7" i="26" s="1"/>
  <c r="L133" i="5"/>
  <c r="L130" i="5"/>
  <c r="P83" i="5"/>
  <c r="CD7" i="26" s="1"/>
  <c r="Q52" i="4" l="1"/>
  <c r="N1" i="23" l="1"/>
  <c r="M114" i="23" l="1"/>
  <c r="L114" i="23"/>
  <c r="K114" i="23"/>
  <c r="J114" i="23"/>
  <c r="I114" i="23"/>
  <c r="H114" i="23"/>
  <c r="G114" i="23"/>
  <c r="F114" i="23"/>
  <c r="E114" i="23"/>
  <c r="D114" i="23"/>
  <c r="C114" i="23"/>
  <c r="B114" i="23"/>
  <c r="M112" i="23"/>
  <c r="L112" i="23"/>
  <c r="K112" i="23"/>
  <c r="J112" i="23"/>
  <c r="I112" i="23"/>
  <c r="H112" i="23"/>
  <c r="G112" i="23"/>
  <c r="F112" i="23"/>
  <c r="E112" i="23"/>
  <c r="D112" i="23"/>
  <c r="C112" i="23"/>
  <c r="B112" i="23"/>
  <c r="N110" i="23"/>
  <c r="N109" i="23"/>
  <c r="N107" i="23"/>
  <c r="N106" i="23"/>
  <c r="N105" i="23"/>
  <c r="N104" i="23"/>
  <c r="N103" i="23"/>
  <c r="N102" i="23"/>
  <c r="N101" i="23"/>
  <c r="N100" i="23"/>
  <c r="N99" i="23"/>
  <c r="N98" i="23"/>
  <c r="N97" i="23"/>
  <c r="N96" i="23"/>
  <c r="N95" i="23"/>
  <c r="N93" i="23"/>
  <c r="N92" i="23"/>
  <c r="N91" i="23"/>
  <c r="N90" i="23"/>
  <c r="N89" i="23"/>
  <c r="N88" i="23"/>
  <c r="N87" i="23"/>
  <c r="N86" i="23"/>
  <c r="M77" i="23"/>
  <c r="M75" i="23"/>
  <c r="L77" i="23"/>
  <c r="K77" i="23"/>
  <c r="J77" i="23"/>
  <c r="I77" i="23"/>
  <c r="H77" i="23"/>
  <c r="G77" i="23"/>
  <c r="F77" i="23"/>
  <c r="E77" i="23"/>
  <c r="D77" i="23"/>
  <c r="C77" i="23"/>
  <c r="B77" i="23"/>
  <c r="L75" i="23"/>
  <c r="K75" i="23"/>
  <c r="J75" i="23"/>
  <c r="I75" i="23"/>
  <c r="H75" i="23"/>
  <c r="G75" i="23"/>
  <c r="F75" i="23"/>
  <c r="E75" i="23"/>
  <c r="D75" i="23"/>
  <c r="C75" i="23"/>
  <c r="B75" i="23"/>
  <c r="N73" i="23"/>
  <c r="N72" i="23"/>
  <c r="N70" i="23"/>
  <c r="N69" i="23"/>
  <c r="N68" i="23"/>
  <c r="N67" i="23"/>
  <c r="N66" i="23"/>
  <c r="N65" i="23"/>
  <c r="N64" i="23"/>
  <c r="N63" i="23"/>
  <c r="N62" i="23"/>
  <c r="N61" i="23"/>
  <c r="N60" i="23"/>
  <c r="N59" i="23"/>
  <c r="N58" i="23"/>
  <c r="N56" i="23"/>
  <c r="N55" i="23"/>
  <c r="N54" i="23"/>
  <c r="N53" i="23"/>
  <c r="N52" i="23"/>
  <c r="N51" i="23"/>
  <c r="N50" i="23"/>
  <c r="N49" i="23"/>
  <c r="P176" i="4" l="1"/>
  <c r="P185" i="4"/>
  <c r="P193" i="4"/>
  <c r="E76" i="23"/>
  <c r="B78" i="23"/>
  <c r="M78" i="23"/>
  <c r="Q181" i="4"/>
  <c r="Q190" i="4"/>
  <c r="B113" i="23"/>
  <c r="B115" i="23"/>
  <c r="J115" i="23"/>
  <c r="P181" i="4"/>
  <c r="P190" i="4"/>
  <c r="B76" i="23"/>
  <c r="C78" i="23"/>
  <c r="K78" i="23"/>
  <c r="Q178" i="4"/>
  <c r="Q187" i="4"/>
  <c r="Q195" i="4"/>
  <c r="C113" i="23"/>
  <c r="K113" i="23"/>
  <c r="G115" i="23"/>
  <c r="P174" i="4"/>
  <c r="P183" i="4"/>
  <c r="P187" i="4"/>
  <c r="P191" i="4"/>
  <c r="P195" i="4"/>
  <c r="C76" i="23"/>
  <c r="G76" i="23"/>
  <c r="K76" i="23"/>
  <c r="D78" i="23"/>
  <c r="H78" i="23"/>
  <c r="L78" i="23"/>
  <c r="Q175" i="4"/>
  <c r="Q179" i="4"/>
  <c r="Q184" i="4"/>
  <c r="Q188" i="4"/>
  <c r="Q192" i="4"/>
  <c r="D113" i="23"/>
  <c r="H113" i="23"/>
  <c r="L113" i="23"/>
  <c r="D115" i="23"/>
  <c r="H115" i="23"/>
  <c r="L115" i="23"/>
  <c r="P180" i="4"/>
  <c r="P189" i="4"/>
  <c r="I76" i="23"/>
  <c r="F78" i="23"/>
  <c r="J78" i="23"/>
  <c r="Q177" i="4"/>
  <c r="Q186" i="4"/>
  <c r="Q194" i="4"/>
  <c r="F113" i="23"/>
  <c r="J113" i="23"/>
  <c r="F115" i="23"/>
  <c r="P177" i="4"/>
  <c r="P186" i="4"/>
  <c r="P194" i="4"/>
  <c r="F76" i="23"/>
  <c r="J76" i="23"/>
  <c r="G78" i="23"/>
  <c r="Q174" i="4"/>
  <c r="Q183" i="4"/>
  <c r="Q191" i="4"/>
  <c r="G113" i="23"/>
  <c r="C115" i="23"/>
  <c r="K115" i="23"/>
  <c r="P178" i="4"/>
  <c r="P175" i="4"/>
  <c r="P179" i="4"/>
  <c r="P184" i="4"/>
  <c r="P188" i="4"/>
  <c r="P192" i="4"/>
  <c r="D76" i="23"/>
  <c r="H76" i="23"/>
  <c r="L76" i="23"/>
  <c r="E78" i="23"/>
  <c r="I78" i="23"/>
  <c r="M76" i="23"/>
  <c r="Q176" i="4"/>
  <c r="Q180" i="4"/>
  <c r="Q185" i="4"/>
  <c r="Q189" i="4"/>
  <c r="Q193" i="4"/>
  <c r="E113" i="23"/>
  <c r="I113" i="23"/>
  <c r="M113" i="23"/>
  <c r="E115" i="23"/>
  <c r="I115" i="23"/>
  <c r="M115" i="23"/>
  <c r="N75" i="23"/>
  <c r="N114" i="23"/>
  <c r="N112" i="23"/>
  <c r="N77" i="23"/>
  <c r="N36" i="23"/>
  <c r="N35" i="23"/>
  <c r="B40" i="23"/>
  <c r="B38" i="23"/>
  <c r="N115" i="23" l="1"/>
  <c r="N76" i="23"/>
  <c r="P198" i="4" s="1"/>
  <c r="B39" i="23"/>
  <c r="B41" i="23"/>
  <c r="N78" i="23"/>
  <c r="N113" i="23"/>
  <c r="M40" i="23"/>
  <c r="C38" i="23"/>
  <c r="D38" i="23"/>
  <c r="E38" i="23"/>
  <c r="F38" i="23"/>
  <c r="G38" i="23"/>
  <c r="H38" i="23"/>
  <c r="I38" i="23"/>
  <c r="J38" i="23"/>
  <c r="K38" i="23"/>
  <c r="L38" i="23"/>
  <c r="M38" i="23"/>
  <c r="N33" i="23"/>
  <c r="N32" i="23"/>
  <c r="N31" i="23"/>
  <c r="N30" i="23"/>
  <c r="N29" i="23"/>
  <c r="N28" i="23"/>
  <c r="N27" i="23"/>
  <c r="N26" i="23"/>
  <c r="N25" i="23"/>
  <c r="N24" i="23"/>
  <c r="N23" i="23"/>
  <c r="N22" i="23"/>
  <c r="O183" i="4"/>
  <c r="N13" i="23"/>
  <c r="N14" i="23"/>
  <c r="N15" i="23"/>
  <c r="N16" i="23"/>
  <c r="N17" i="23"/>
  <c r="N18" i="23"/>
  <c r="N19" i="23"/>
  <c r="N12" i="23"/>
  <c r="Q197" i="4" l="1"/>
  <c r="O179" i="4"/>
  <c r="O175" i="4"/>
  <c r="O186" i="4"/>
  <c r="O190" i="4"/>
  <c r="O194" i="4"/>
  <c r="K39" i="23"/>
  <c r="G39" i="23"/>
  <c r="C39" i="23"/>
  <c r="O174" i="4"/>
  <c r="O178" i="4"/>
  <c r="O187" i="4"/>
  <c r="O191" i="4"/>
  <c r="O195" i="4"/>
  <c r="J39" i="23"/>
  <c r="F39" i="23"/>
  <c r="M41" i="23"/>
  <c r="O181" i="4"/>
  <c r="O177" i="4"/>
  <c r="O184" i="4"/>
  <c r="O188" i="4"/>
  <c r="O192" i="4"/>
  <c r="M39" i="23"/>
  <c r="I39" i="23"/>
  <c r="E39" i="23"/>
  <c r="Q198" i="4"/>
  <c r="O180" i="4"/>
  <c r="O176" i="4"/>
  <c r="O185" i="4"/>
  <c r="O189" i="4"/>
  <c r="O193" i="4"/>
  <c r="L39" i="23"/>
  <c r="H39" i="23"/>
  <c r="D39" i="23"/>
  <c r="P197" i="4"/>
  <c r="N38" i="23"/>
  <c r="C40" i="23"/>
  <c r="D40" i="23"/>
  <c r="E40" i="23"/>
  <c r="F40" i="23"/>
  <c r="G40" i="23"/>
  <c r="H40" i="23"/>
  <c r="I40" i="23"/>
  <c r="J40" i="23"/>
  <c r="K40" i="23"/>
  <c r="L40" i="23"/>
  <c r="J41" i="23" l="1"/>
  <c r="N39" i="23"/>
  <c r="D41" i="23"/>
  <c r="F41" i="23"/>
  <c r="I41" i="23"/>
  <c r="E41" i="23"/>
  <c r="L41" i="23"/>
  <c r="H41" i="23"/>
  <c r="K41" i="23"/>
  <c r="G41" i="23"/>
  <c r="C41" i="23"/>
  <c r="N40" i="23"/>
  <c r="S69" i="10"/>
  <c r="S57" i="10"/>
  <c r="F69" i="10"/>
  <c r="F57" i="10"/>
  <c r="O198" i="4" l="1"/>
  <c r="N41" i="23"/>
  <c r="Q158" i="6" l="1"/>
  <c r="O197" i="4"/>
  <c r="O288" i="7" s="1"/>
  <c r="O272" i="7" s="1"/>
  <c r="AY7" i="26" l="1"/>
  <c r="AU7" i="26"/>
  <c r="AQ7" i="26"/>
  <c r="AX7" i="26"/>
  <c r="AT7" i="26"/>
  <c r="AP7" i="26"/>
  <c r="AW7" i="26"/>
  <c r="AS7" i="26"/>
  <c r="AV7" i="26"/>
  <c r="AR7" i="26"/>
  <c r="L358" i="6"/>
  <c r="J327" i="6"/>
  <c r="O299" i="7" s="1"/>
  <c r="HT7" i="26" s="1"/>
  <c r="L353" i="6"/>
  <c r="O281" i="7" l="1"/>
  <c r="EP7" i="26" l="1"/>
  <c r="AJ289" i="7"/>
  <c r="AI289" i="7"/>
  <c r="P49" i="7" l="1"/>
  <c r="D55" i="7"/>
  <c r="M51" i="7" l="1"/>
  <c r="Y1" i="3"/>
  <c r="FC7" i="26" l="1"/>
  <c r="O13" i="8"/>
  <c r="I144" i="5"/>
  <c r="L148" i="5" l="1"/>
  <c r="O109" i="6"/>
  <c r="T109" i="6"/>
  <c r="M54" i="6" l="1"/>
  <c r="O282" i="7" l="1"/>
  <c r="AJ288" i="7"/>
  <c r="P45" i="6" l="1"/>
  <c r="T42" i="5"/>
  <c r="BP5" i="9"/>
  <c r="I74" i="6"/>
  <c r="N75" i="6" s="1"/>
  <c r="P51" i="7"/>
  <c r="N237" i="7"/>
  <c r="C99" i="7"/>
  <c r="C98" i="7"/>
  <c r="AL56" i="7"/>
  <c r="AL55" i="7"/>
  <c r="AK56" i="7"/>
  <c r="AK55" i="7"/>
  <c r="I73" i="6" l="1"/>
  <c r="AK69" i="6" s="1"/>
  <c r="I76" i="6"/>
  <c r="AJ68" i="6"/>
  <c r="J83" i="6" s="1"/>
  <c r="AM69" i="6"/>
  <c r="P84" i="6" s="1"/>
  <c r="AL69" i="6"/>
  <c r="N84" i="6" s="1"/>
  <c r="T43" i="5"/>
  <c r="C147" i="6"/>
  <c r="C87" i="7"/>
  <c r="BP7" i="9"/>
  <c r="BP6" i="9"/>
  <c r="AL68" i="6" l="1"/>
  <c r="N83" i="6" s="1"/>
  <c r="H111" i="6" s="1"/>
  <c r="AK68" i="6"/>
  <c r="L83" i="6" s="1"/>
  <c r="H109" i="6" s="1"/>
  <c r="AM68" i="6"/>
  <c r="P83" i="6" s="1"/>
  <c r="AJ69" i="6"/>
  <c r="J84" i="6" s="1"/>
  <c r="H110" i="6" s="1"/>
  <c r="I78" i="6" a="1"/>
  <c r="I78" i="6" s="1"/>
  <c r="L84" i="6"/>
  <c r="BP8" i="9"/>
  <c r="BP9" i="9"/>
  <c r="L230" i="5"/>
  <c r="O80" i="8"/>
  <c r="L7" i="26" l="1"/>
  <c r="P88" i="6"/>
  <c r="P87" i="6"/>
  <c r="J88" i="6"/>
  <c r="M110" i="6" s="1"/>
  <c r="N88" i="6"/>
  <c r="M112" i="6" s="1"/>
  <c r="N87" i="6"/>
  <c r="M111" i="6" s="1"/>
  <c r="L87" i="6"/>
  <c r="L88" i="6"/>
  <c r="J87" i="6"/>
  <c r="M109" i="6" s="1"/>
  <c r="M120" i="6" s="1"/>
  <c r="IA7" i="26" s="1"/>
  <c r="H112" i="6"/>
  <c r="M119" i="6" s="1"/>
  <c r="HZ7" i="26" s="1"/>
  <c r="C14" i="4"/>
  <c r="C12" i="4"/>
  <c r="GT7" i="26"/>
  <c r="C88" i="7"/>
  <c r="L231" i="5"/>
  <c r="CR7" i="26" s="1"/>
  <c r="C148" i="6"/>
  <c r="C89" i="7"/>
  <c r="C149" i="6"/>
  <c r="N236" i="7"/>
  <c r="N235" i="7"/>
  <c r="N234" i="7"/>
  <c r="N233" i="7"/>
  <c r="O148" i="7"/>
  <c r="O147" i="7"/>
  <c r="O146" i="7"/>
  <c r="O142" i="7"/>
  <c r="O141" i="7"/>
  <c r="O140" i="7"/>
  <c r="Q93" i="7"/>
  <c r="O352" i="6"/>
  <c r="N241" i="7" l="1"/>
  <c r="FU7" i="26" s="1"/>
  <c r="N242" i="7"/>
  <c r="P237" i="7"/>
  <c r="Q90" i="7"/>
  <c r="C94" i="7"/>
  <c r="Q94" i="7"/>
  <c r="S93" i="7"/>
  <c r="J278" i="6" l="1"/>
  <c r="O280" i="6" s="1"/>
  <c r="L275" i="6"/>
  <c r="Q153" i="6"/>
  <c r="S153" i="6" s="1"/>
  <c r="C154" i="6" l="1"/>
  <c r="Q150" i="6"/>
  <c r="Q154" i="6"/>
  <c r="W263" i="5"/>
  <c r="AD17" i="5" l="1"/>
  <c r="AD18" i="5"/>
  <c r="AD19" i="5"/>
  <c r="AD20" i="5"/>
  <c r="AD21" i="5"/>
  <c r="AD22" i="5"/>
  <c r="AD23" i="5"/>
  <c r="AD24" i="5"/>
  <c r="AD25" i="5"/>
  <c r="AD26" i="5"/>
  <c r="AD27" i="5"/>
  <c r="AD28" i="5"/>
  <c r="AD29" i="5"/>
  <c r="AD30" i="5"/>
  <c r="AD31" i="5"/>
  <c r="AD32" i="5"/>
  <c r="AD33" i="5"/>
  <c r="AD34" i="5"/>
  <c r="AD35" i="5"/>
  <c r="T35" i="5"/>
  <c r="Y35" i="5" l="1"/>
  <c r="BX7" i="26" s="1"/>
  <c r="C9" i="4"/>
  <c r="O173" i="4"/>
  <c r="O22" i="4"/>
  <c r="P11" i="7"/>
  <c r="P30" i="7"/>
  <c r="O75" i="4"/>
  <c r="T56" i="5" a="1"/>
  <c r="T56" i="5" s="1"/>
  <c r="BZ7" i="26" s="1"/>
  <c r="A39" i="23" l="1"/>
  <c r="A8" i="23"/>
  <c r="A41" i="23"/>
  <c r="A7" i="23"/>
  <c r="V30" i="7"/>
  <c r="V11" i="7"/>
  <c r="Q22" i="4"/>
  <c r="Q173" i="4"/>
  <c r="Q75" i="4"/>
  <c r="S11" i="7"/>
  <c r="S30" i="7"/>
  <c r="P22" i="4"/>
  <c r="P173" i="4"/>
  <c r="P75" i="4"/>
  <c r="A78" i="23" l="1"/>
  <c r="A76" i="23"/>
  <c r="A44" i="23"/>
  <c r="A45" i="23"/>
  <c r="A113" i="23"/>
  <c r="A115" i="23"/>
  <c r="A82" i="23"/>
  <c r="A81" i="23"/>
  <c r="O10" i="8" l="1"/>
  <c r="AZ6" i="9" l="1"/>
  <c r="M6" i="13" l="1"/>
  <c r="M7" i="13"/>
  <c r="M8" i="13"/>
  <c r="M9" i="13"/>
  <c r="M10" i="13"/>
  <c r="M11" i="13"/>
  <c r="M12" i="13"/>
  <c r="M13" i="13"/>
  <c r="M14" i="13"/>
  <c r="M15" i="13"/>
  <c r="M16" i="13"/>
  <c r="M17" i="13"/>
  <c r="M18" i="13"/>
  <c r="M19" i="13"/>
  <c r="M20" i="13"/>
  <c r="M21" i="13"/>
  <c r="M22" i="13"/>
  <c r="M23" i="13"/>
  <c r="M24" i="13"/>
  <c r="M25" i="13"/>
  <c r="M26" i="13"/>
  <c r="M27" i="13"/>
  <c r="M28" i="13"/>
  <c r="M29" i="13"/>
  <c r="M30" i="13"/>
  <c r="M31" i="13"/>
  <c r="M32" i="13"/>
  <c r="M33" i="13"/>
  <c r="M34" i="13"/>
  <c r="M35" i="13"/>
  <c r="M36" i="13"/>
  <c r="M37" i="13"/>
  <c r="M38" i="13"/>
  <c r="M39" i="13"/>
  <c r="M40" i="13"/>
  <c r="M41" i="13"/>
  <c r="M42" i="13"/>
  <c r="M43" i="13"/>
  <c r="M44" i="13"/>
  <c r="M45" i="13"/>
  <c r="M46" i="13"/>
  <c r="M47" i="13"/>
  <c r="M48" i="13"/>
  <c r="M49" i="13"/>
  <c r="M50" i="13"/>
  <c r="M51" i="13"/>
  <c r="M52" i="13"/>
  <c r="M53" i="13"/>
  <c r="M54" i="13"/>
  <c r="M55" i="13"/>
  <c r="M56" i="13"/>
  <c r="M57" i="13"/>
  <c r="M58" i="13"/>
  <c r="M59" i="13"/>
  <c r="M60" i="13"/>
  <c r="M61" i="13"/>
  <c r="M62" i="13"/>
  <c r="M63" i="13"/>
  <c r="M64" i="13"/>
  <c r="M65" i="13"/>
  <c r="M66" i="13"/>
  <c r="M67" i="13"/>
  <c r="M68" i="13"/>
  <c r="M69" i="13"/>
  <c r="M70" i="13"/>
  <c r="M71" i="13"/>
  <c r="M72" i="13"/>
  <c r="M73" i="13"/>
  <c r="M74" i="13"/>
  <c r="M75" i="13"/>
  <c r="M76" i="13"/>
  <c r="M77" i="13"/>
  <c r="M78" i="13"/>
  <c r="M79" i="13"/>
  <c r="M80" i="13"/>
  <c r="M81" i="13"/>
  <c r="M82" i="13"/>
  <c r="M83" i="13"/>
  <c r="M84" i="13"/>
  <c r="M85" i="13"/>
  <c r="M86" i="13"/>
  <c r="M87" i="13"/>
  <c r="M88" i="13"/>
  <c r="M89" i="13"/>
  <c r="M90" i="13"/>
  <c r="M91" i="13"/>
  <c r="M92" i="13"/>
  <c r="M93" i="13"/>
  <c r="M94" i="13"/>
  <c r="M95" i="13"/>
  <c r="M96" i="13"/>
  <c r="M97" i="13"/>
  <c r="M98" i="13"/>
  <c r="M99" i="13"/>
  <c r="M100" i="13"/>
  <c r="M101" i="13"/>
  <c r="M102" i="13"/>
  <c r="M103" i="13"/>
  <c r="M104" i="13"/>
  <c r="M105" i="13"/>
  <c r="M106" i="13"/>
  <c r="M107" i="13"/>
  <c r="M108" i="13"/>
  <c r="M109" i="13"/>
  <c r="M110" i="13"/>
  <c r="M111" i="13"/>
  <c r="M112" i="13"/>
  <c r="M113" i="13"/>
  <c r="M114" i="13"/>
  <c r="M115" i="13"/>
  <c r="M116" i="13"/>
  <c r="M117" i="13"/>
  <c r="M118" i="13"/>
  <c r="M119" i="13"/>
  <c r="M120" i="13"/>
  <c r="M121" i="13"/>
  <c r="M122" i="13"/>
  <c r="M123" i="13"/>
  <c r="M124" i="13"/>
  <c r="M125" i="13"/>
  <c r="M126" i="13"/>
  <c r="M127" i="13"/>
  <c r="M128" i="13"/>
  <c r="M129" i="13"/>
  <c r="M130" i="13"/>
  <c r="M131" i="13"/>
  <c r="M132" i="13"/>
  <c r="M133" i="13"/>
  <c r="M134" i="13"/>
  <c r="M135" i="13"/>
  <c r="M136" i="13"/>
  <c r="M137" i="13"/>
  <c r="M138" i="13"/>
  <c r="M139" i="13"/>
  <c r="M140" i="13"/>
  <c r="M141" i="13"/>
  <c r="M142" i="13"/>
  <c r="M143" i="13"/>
  <c r="M144" i="13"/>
  <c r="M145" i="13"/>
  <c r="M146" i="13"/>
  <c r="M147" i="13"/>
  <c r="M148" i="13"/>
  <c r="M149" i="13"/>
  <c r="M150" i="13"/>
  <c r="M151" i="13"/>
  <c r="M152" i="13"/>
  <c r="M153" i="13"/>
  <c r="M154" i="13"/>
  <c r="M155" i="13"/>
  <c r="M156" i="13"/>
  <c r="M157" i="13"/>
  <c r="M158" i="13"/>
  <c r="M159" i="13"/>
  <c r="M160" i="13"/>
  <c r="M161" i="13"/>
  <c r="M162" i="13"/>
  <c r="M163" i="13"/>
  <c r="M164" i="13"/>
  <c r="M165" i="13"/>
  <c r="M166" i="13"/>
  <c r="M167" i="13"/>
  <c r="M168" i="13"/>
  <c r="M169" i="13"/>
  <c r="M170" i="13"/>
  <c r="M171" i="13"/>
  <c r="M172" i="13"/>
  <c r="M173" i="13"/>
  <c r="M174" i="13"/>
  <c r="M175" i="13"/>
  <c r="M176" i="13"/>
  <c r="M177" i="13"/>
  <c r="M178" i="13"/>
  <c r="M179" i="13"/>
  <c r="M180" i="13"/>
  <c r="M181" i="13"/>
  <c r="M182" i="13"/>
  <c r="M183" i="13"/>
  <c r="M184" i="13"/>
  <c r="M185" i="13"/>
  <c r="M186" i="13"/>
  <c r="M187" i="13"/>
  <c r="M188" i="13"/>
  <c r="M189" i="13"/>
  <c r="M190" i="13"/>
  <c r="M191" i="13"/>
  <c r="M192" i="13"/>
  <c r="M193" i="13"/>
  <c r="M194" i="13"/>
  <c r="M195" i="13"/>
  <c r="M196" i="13"/>
  <c r="M197" i="13"/>
  <c r="M198" i="13"/>
  <c r="M199" i="13"/>
  <c r="M200" i="13"/>
  <c r="M201" i="13"/>
  <c r="M202" i="13"/>
  <c r="M203" i="13"/>
  <c r="M204" i="13"/>
  <c r="M205" i="13"/>
  <c r="M206" i="13"/>
  <c r="M207" i="13"/>
  <c r="M208" i="13"/>
  <c r="M209" i="13"/>
  <c r="M210" i="13"/>
  <c r="M211" i="13"/>
  <c r="M212" i="13"/>
  <c r="M213" i="13"/>
  <c r="M214" i="13"/>
  <c r="M215" i="13"/>
  <c r="M216" i="13"/>
  <c r="M217" i="13"/>
  <c r="M218" i="13"/>
  <c r="M219" i="13"/>
  <c r="M220" i="13"/>
  <c r="M221" i="13"/>
  <c r="M222" i="13"/>
  <c r="M223" i="13"/>
  <c r="M224" i="13"/>
  <c r="M225" i="13"/>
  <c r="M226" i="13"/>
  <c r="M227" i="13"/>
  <c r="M228" i="13"/>
  <c r="M229" i="13"/>
  <c r="M230" i="13"/>
  <c r="M231" i="13"/>
  <c r="M232" i="13"/>
  <c r="M233" i="13"/>
  <c r="M234" i="13"/>
  <c r="M235" i="13"/>
  <c r="M236" i="13"/>
  <c r="M237" i="13"/>
  <c r="M238" i="13"/>
  <c r="M239" i="13"/>
  <c r="M240" i="13"/>
  <c r="M241" i="13"/>
  <c r="M242" i="13"/>
  <c r="M243" i="13"/>
  <c r="M244" i="13"/>
  <c r="M245" i="13"/>
  <c r="M246" i="13"/>
  <c r="M247" i="13"/>
  <c r="M248" i="13"/>
  <c r="M249" i="13"/>
  <c r="M250" i="13"/>
  <c r="M251" i="13"/>
  <c r="M252" i="13"/>
  <c r="M253" i="13"/>
  <c r="M254" i="13"/>
  <c r="M255" i="13"/>
  <c r="M256" i="13"/>
  <c r="M257" i="13"/>
  <c r="M258" i="13"/>
  <c r="M259" i="13"/>
  <c r="M260" i="13"/>
  <c r="M261" i="13"/>
  <c r="M262" i="13"/>
  <c r="M263" i="13"/>
  <c r="M264" i="13"/>
  <c r="M265" i="13"/>
  <c r="M266" i="13"/>
  <c r="M267" i="13"/>
  <c r="M268" i="13"/>
  <c r="M269" i="13"/>
  <c r="M270" i="13"/>
  <c r="M271" i="13"/>
  <c r="M272" i="13"/>
  <c r="M273" i="13"/>
  <c r="M274" i="13"/>
  <c r="M275" i="13"/>
  <c r="M276" i="13"/>
  <c r="M277" i="13"/>
  <c r="M278" i="13"/>
  <c r="M279" i="13"/>
  <c r="M280" i="13"/>
  <c r="M281" i="13"/>
  <c r="M282" i="13"/>
  <c r="M5" i="13"/>
  <c r="B6" i="13"/>
  <c r="B7" i="13"/>
  <c r="B8" i="13"/>
  <c r="B9" i="13"/>
  <c r="B10" i="13"/>
  <c r="B11" i="13"/>
  <c r="B12" i="13"/>
  <c r="B13" i="13"/>
  <c r="B14" i="13"/>
  <c r="B15" i="13"/>
  <c r="B16" i="13"/>
  <c r="B17" i="13"/>
  <c r="B18" i="13"/>
  <c r="B19" i="13"/>
  <c r="B20" i="13"/>
  <c r="B21" i="13"/>
  <c r="B22" i="13"/>
  <c r="B23" i="13"/>
  <c r="B24" i="13"/>
  <c r="B25" i="13"/>
  <c r="B26" i="13"/>
  <c r="B27" i="13"/>
  <c r="B28" i="13"/>
  <c r="B29" i="13"/>
  <c r="B30" i="13"/>
  <c r="B31" i="13"/>
  <c r="B32" i="13"/>
  <c r="B33" i="13"/>
  <c r="B34" i="13"/>
  <c r="B35" i="13"/>
  <c r="B36" i="13"/>
  <c r="B37" i="13"/>
  <c r="B38" i="13"/>
  <c r="B39" i="13"/>
  <c r="B40" i="13"/>
  <c r="B41" i="13"/>
  <c r="B42" i="13"/>
  <c r="B43" i="13"/>
  <c r="B44" i="13"/>
  <c r="B45" i="13"/>
  <c r="B46" i="13"/>
  <c r="B47" i="13"/>
  <c r="B48" i="13"/>
  <c r="B49" i="13"/>
  <c r="B50" i="13"/>
  <c r="B51" i="13"/>
  <c r="B52" i="13"/>
  <c r="B53" i="13"/>
  <c r="B54" i="13"/>
  <c r="B55" i="13"/>
  <c r="B56" i="13"/>
  <c r="B57" i="13"/>
  <c r="B58" i="13"/>
  <c r="B59" i="13"/>
  <c r="B60" i="13"/>
  <c r="B61" i="13"/>
  <c r="B62" i="13"/>
  <c r="B63" i="13"/>
  <c r="B64" i="13"/>
  <c r="B65" i="13"/>
  <c r="B66" i="13"/>
  <c r="B67" i="13"/>
  <c r="B68" i="13"/>
  <c r="B69" i="13"/>
  <c r="B70" i="13"/>
  <c r="B71" i="13"/>
  <c r="B72" i="13"/>
  <c r="B73" i="13"/>
  <c r="B74" i="13"/>
  <c r="B75" i="13"/>
  <c r="B76" i="13"/>
  <c r="B77" i="13"/>
  <c r="B78" i="13"/>
  <c r="B79" i="13"/>
  <c r="B80" i="13"/>
  <c r="B81" i="13"/>
  <c r="B82" i="13"/>
  <c r="B83" i="13"/>
  <c r="B84" i="13"/>
  <c r="B85" i="13"/>
  <c r="B86" i="13"/>
  <c r="B87" i="13"/>
  <c r="B88" i="13"/>
  <c r="B89" i="13"/>
  <c r="B90" i="13"/>
  <c r="B91" i="13"/>
  <c r="B92" i="13"/>
  <c r="B93" i="13"/>
  <c r="B94" i="13"/>
  <c r="B95" i="13"/>
  <c r="B96" i="13"/>
  <c r="B97" i="13"/>
  <c r="B98" i="13"/>
  <c r="B99" i="13"/>
  <c r="B100" i="13"/>
  <c r="B101" i="13"/>
  <c r="B102" i="13"/>
  <c r="B103" i="13"/>
  <c r="B104" i="13"/>
  <c r="B105" i="13"/>
  <c r="B106" i="13"/>
  <c r="B107" i="13"/>
  <c r="B108" i="13"/>
  <c r="B109" i="13"/>
  <c r="B110" i="13"/>
  <c r="B111" i="13"/>
  <c r="B112" i="13"/>
  <c r="B113" i="13"/>
  <c r="B114" i="13"/>
  <c r="B115" i="13"/>
  <c r="B116" i="13"/>
  <c r="B117" i="13"/>
  <c r="B118" i="13"/>
  <c r="B119" i="13"/>
  <c r="B120" i="13"/>
  <c r="B121" i="13"/>
  <c r="B122" i="13"/>
  <c r="B123" i="13"/>
  <c r="B124" i="13"/>
  <c r="B125" i="13"/>
  <c r="B126" i="13"/>
  <c r="B127" i="13"/>
  <c r="B128" i="13"/>
  <c r="B129" i="13"/>
  <c r="B130" i="13"/>
  <c r="B131" i="13"/>
  <c r="B132" i="13"/>
  <c r="B133" i="13"/>
  <c r="B134" i="13"/>
  <c r="B135" i="13"/>
  <c r="B136" i="13"/>
  <c r="B137" i="13"/>
  <c r="B138" i="13"/>
  <c r="B139" i="13"/>
  <c r="B140" i="13"/>
  <c r="B141" i="13"/>
  <c r="B142" i="13"/>
  <c r="B143" i="13"/>
  <c r="B144" i="13"/>
  <c r="B145" i="13"/>
  <c r="B146" i="13"/>
  <c r="B147" i="13"/>
  <c r="B148" i="13"/>
  <c r="B149" i="13"/>
  <c r="B150" i="13"/>
  <c r="B151" i="13"/>
  <c r="B152" i="13"/>
  <c r="B153" i="13"/>
  <c r="B154" i="13"/>
  <c r="B155" i="13"/>
  <c r="B156" i="13"/>
  <c r="B157" i="13"/>
  <c r="B158" i="13"/>
  <c r="B159" i="13"/>
  <c r="B160" i="13"/>
  <c r="B161" i="13"/>
  <c r="B162" i="13"/>
  <c r="B163" i="13"/>
  <c r="B164" i="13"/>
  <c r="B165" i="13"/>
  <c r="B166" i="13"/>
  <c r="B167" i="13"/>
  <c r="B168" i="13"/>
  <c r="B169" i="13"/>
  <c r="B170" i="13"/>
  <c r="B171" i="13"/>
  <c r="B172" i="13"/>
  <c r="B173" i="13"/>
  <c r="B174" i="13"/>
  <c r="B175" i="13"/>
  <c r="B176" i="13"/>
  <c r="B177" i="13"/>
  <c r="B178" i="13"/>
  <c r="B179" i="13"/>
  <c r="B180" i="13"/>
  <c r="B181" i="13"/>
  <c r="B182" i="13"/>
  <c r="B183" i="13"/>
  <c r="B184" i="13"/>
  <c r="B185" i="13"/>
  <c r="B186" i="13"/>
  <c r="B187" i="13"/>
  <c r="B188" i="13"/>
  <c r="B189" i="13"/>
  <c r="B190" i="13"/>
  <c r="B191" i="13"/>
  <c r="B192" i="13"/>
  <c r="B193" i="13"/>
  <c r="B194" i="13"/>
  <c r="B195" i="13"/>
  <c r="B196" i="13"/>
  <c r="B197" i="13"/>
  <c r="B198" i="13"/>
  <c r="B199" i="13"/>
  <c r="B200" i="13"/>
  <c r="B201" i="13"/>
  <c r="B202" i="13"/>
  <c r="B203" i="13"/>
  <c r="B204" i="13"/>
  <c r="B205" i="13"/>
  <c r="B206" i="13"/>
  <c r="B207" i="13"/>
  <c r="B208" i="13"/>
  <c r="B209" i="13"/>
  <c r="B210" i="13"/>
  <c r="B211" i="13"/>
  <c r="B212" i="13"/>
  <c r="B213" i="13"/>
  <c r="B214" i="13"/>
  <c r="B215" i="13"/>
  <c r="B216" i="13"/>
  <c r="B217" i="13"/>
  <c r="B218" i="13"/>
  <c r="B219" i="13"/>
  <c r="B220" i="13"/>
  <c r="B221" i="13"/>
  <c r="B222" i="13"/>
  <c r="B223" i="13"/>
  <c r="B224" i="13"/>
  <c r="B225" i="13"/>
  <c r="B226" i="13"/>
  <c r="B227" i="13"/>
  <c r="B228" i="13"/>
  <c r="B229" i="13"/>
  <c r="B230" i="13"/>
  <c r="B231" i="13"/>
  <c r="B232" i="13"/>
  <c r="B233" i="13"/>
  <c r="B234" i="13"/>
  <c r="B235" i="13"/>
  <c r="B236" i="13"/>
  <c r="B237" i="13"/>
  <c r="B238" i="13"/>
  <c r="B239" i="13"/>
  <c r="B240" i="13"/>
  <c r="B241" i="13"/>
  <c r="B242" i="13"/>
  <c r="B243" i="13"/>
  <c r="B244" i="13"/>
  <c r="B245" i="13"/>
  <c r="B246" i="13"/>
  <c r="B247" i="13"/>
  <c r="B248" i="13"/>
  <c r="B249" i="13"/>
  <c r="B250" i="13"/>
  <c r="B251" i="13"/>
  <c r="B252" i="13"/>
  <c r="B253" i="13"/>
  <c r="B254" i="13"/>
  <c r="B255" i="13"/>
  <c r="B256" i="13"/>
  <c r="B257" i="13"/>
  <c r="B258" i="13"/>
  <c r="B259" i="13"/>
  <c r="B260" i="13"/>
  <c r="B261" i="13"/>
  <c r="B262" i="13"/>
  <c r="B263" i="13"/>
  <c r="B264" i="13"/>
  <c r="B265" i="13"/>
  <c r="B266" i="13"/>
  <c r="B267" i="13"/>
  <c r="B268" i="13"/>
  <c r="B269" i="13"/>
  <c r="B270" i="13"/>
  <c r="B271" i="13"/>
  <c r="B272" i="13"/>
  <c r="B273" i="13"/>
  <c r="B274" i="13"/>
  <c r="B275" i="13"/>
  <c r="B276" i="13"/>
  <c r="B277" i="13"/>
  <c r="B278" i="13"/>
  <c r="B279" i="13"/>
  <c r="B280" i="13"/>
  <c r="B281" i="13"/>
  <c r="B282" i="13"/>
  <c r="B5" i="13"/>
  <c r="N6" i="13" l="1"/>
  <c r="N7" i="13"/>
  <c r="N8" i="13"/>
  <c r="N9" i="13"/>
  <c r="N10" i="13"/>
  <c r="N11" i="13"/>
  <c r="N12" i="13"/>
  <c r="N13" i="13"/>
  <c r="N14" i="13"/>
  <c r="N15" i="13"/>
  <c r="N16" i="13"/>
  <c r="N17" i="13"/>
  <c r="N18" i="13"/>
  <c r="N19" i="13"/>
  <c r="N20" i="13"/>
  <c r="N21" i="13"/>
  <c r="N22" i="13"/>
  <c r="N23" i="13"/>
  <c r="N24" i="13"/>
  <c r="N25" i="13"/>
  <c r="N26" i="13"/>
  <c r="N27" i="13"/>
  <c r="N28" i="13"/>
  <c r="N29" i="13"/>
  <c r="N30" i="13"/>
  <c r="N31" i="13"/>
  <c r="N32" i="13"/>
  <c r="N33" i="13"/>
  <c r="N34" i="13"/>
  <c r="N35" i="13"/>
  <c r="N36" i="13"/>
  <c r="N37" i="13"/>
  <c r="N38" i="13"/>
  <c r="N39" i="13"/>
  <c r="N40" i="13"/>
  <c r="N41" i="13"/>
  <c r="N42" i="13"/>
  <c r="N43" i="13"/>
  <c r="N44" i="13"/>
  <c r="N45" i="13"/>
  <c r="N46" i="13"/>
  <c r="N47" i="13"/>
  <c r="N48" i="13"/>
  <c r="N49" i="13"/>
  <c r="N50" i="13"/>
  <c r="N51" i="13"/>
  <c r="N52" i="13"/>
  <c r="N53" i="13"/>
  <c r="N54" i="13"/>
  <c r="N55" i="13"/>
  <c r="N56" i="13"/>
  <c r="N57" i="13"/>
  <c r="N58" i="13"/>
  <c r="N59" i="13"/>
  <c r="N60" i="13"/>
  <c r="N61" i="13"/>
  <c r="N62" i="13"/>
  <c r="N63" i="13"/>
  <c r="N64" i="13"/>
  <c r="N65" i="13"/>
  <c r="N66" i="13"/>
  <c r="N67" i="13"/>
  <c r="N68" i="13"/>
  <c r="N69" i="13"/>
  <c r="N70" i="13"/>
  <c r="N71" i="13"/>
  <c r="N72" i="13"/>
  <c r="N73" i="13"/>
  <c r="N74" i="13"/>
  <c r="N75" i="13"/>
  <c r="N76" i="13"/>
  <c r="N77" i="13"/>
  <c r="N78" i="13"/>
  <c r="N79" i="13"/>
  <c r="N80" i="13"/>
  <c r="N81" i="13"/>
  <c r="N82" i="13"/>
  <c r="N83" i="13"/>
  <c r="N84" i="13"/>
  <c r="N85" i="13"/>
  <c r="N86" i="13"/>
  <c r="N87" i="13"/>
  <c r="N88" i="13"/>
  <c r="N89" i="13"/>
  <c r="N90" i="13"/>
  <c r="N91" i="13"/>
  <c r="N92" i="13"/>
  <c r="N93" i="13"/>
  <c r="N94" i="13"/>
  <c r="N95" i="13"/>
  <c r="N96" i="13"/>
  <c r="N97" i="13"/>
  <c r="N98" i="13"/>
  <c r="N99" i="13"/>
  <c r="N100" i="13"/>
  <c r="N101" i="13"/>
  <c r="N102" i="13"/>
  <c r="N103" i="13"/>
  <c r="N104" i="13"/>
  <c r="N105" i="13"/>
  <c r="N106" i="13"/>
  <c r="N107" i="13"/>
  <c r="N108" i="13"/>
  <c r="N109" i="13"/>
  <c r="N110" i="13"/>
  <c r="N111" i="13"/>
  <c r="N112" i="13"/>
  <c r="N113" i="13"/>
  <c r="N114" i="13"/>
  <c r="N115" i="13"/>
  <c r="N116" i="13"/>
  <c r="N117" i="13"/>
  <c r="N118" i="13"/>
  <c r="N119" i="13"/>
  <c r="N120" i="13"/>
  <c r="N121" i="13"/>
  <c r="N122" i="13"/>
  <c r="N123" i="13"/>
  <c r="N124" i="13"/>
  <c r="N125" i="13"/>
  <c r="N126" i="13"/>
  <c r="N127" i="13"/>
  <c r="N128" i="13"/>
  <c r="N129" i="13"/>
  <c r="N130" i="13"/>
  <c r="N131" i="13"/>
  <c r="N132" i="13"/>
  <c r="N133" i="13"/>
  <c r="N134" i="13"/>
  <c r="N135" i="13"/>
  <c r="N136" i="13"/>
  <c r="N137" i="13"/>
  <c r="N138" i="13"/>
  <c r="N139" i="13"/>
  <c r="N140" i="13"/>
  <c r="N141" i="13"/>
  <c r="N142" i="13"/>
  <c r="N143" i="13"/>
  <c r="N144" i="13"/>
  <c r="N145" i="13"/>
  <c r="N146" i="13"/>
  <c r="N147" i="13"/>
  <c r="N148" i="13"/>
  <c r="N149" i="13"/>
  <c r="N150" i="13"/>
  <c r="N151" i="13"/>
  <c r="N152" i="13"/>
  <c r="N153" i="13"/>
  <c r="N154" i="13"/>
  <c r="N155" i="13"/>
  <c r="N156" i="13"/>
  <c r="N157" i="13"/>
  <c r="N158" i="13"/>
  <c r="N159" i="13"/>
  <c r="N160" i="13"/>
  <c r="N161" i="13"/>
  <c r="N162" i="13"/>
  <c r="N163" i="13"/>
  <c r="N164" i="13"/>
  <c r="N165" i="13"/>
  <c r="N166" i="13"/>
  <c r="N167" i="13"/>
  <c r="N168" i="13"/>
  <c r="N169" i="13"/>
  <c r="N170" i="13"/>
  <c r="N171" i="13"/>
  <c r="N172" i="13"/>
  <c r="N173" i="13"/>
  <c r="N174" i="13"/>
  <c r="N175" i="13"/>
  <c r="N176" i="13"/>
  <c r="N177" i="13"/>
  <c r="N178" i="13"/>
  <c r="N179" i="13"/>
  <c r="N180" i="13"/>
  <c r="N181" i="13"/>
  <c r="N182" i="13"/>
  <c r="N183" i="13"/>
  <c r="N184" i="13"/>
  <c r="N185" i="13"/>
  <c r="N186" i="13"/>
  <c r="N187" i="13"/>
  <c r="N188" i="13"/>
  <c r="N189" i="13"/>
  <c r="N190" i="13"/>
  <c r="N191" i="13"/>
  <c r="N192" i="13"/>
  <c r="N193" i="13"/>
  <c r="N194" i="13"/>
  <c r="N195" i="13"/>
  <c r="N196" i="13"/>
  <c r="N197" i="13"/>
  <c r="N198" i="13"/>
  <c r="N199" i="13"/>
  <c r="N200" i="13"/>
  <c r="N201" i="13"/>
  <c r="N202" i="13"/>
  <c r="N203" i="13"/>
  <c r="N204" i="13"/>
  <c r="N205" i="13"/>
  <c r="N206" i="13"/>
  <c r="N207" i="13"/>
  <c r="N208" i="13"/>
  <c r="N209" i="13"/>
  <c r="N210" i="13"/>
  <c r="N211" i="13"/>
  <c r="N212" i="13"/>
  <c r="N213" i="13"/>
  <c r="N214" i="13"/>
  <c r="N215" i="13"/>
  <c r="N216" i="13"/>
  <c r="N217" i="13"/>
  <c r="N218" i="13"/>
  <c r="N219" i="13"/>
  <c r="N220" i="13"/>
  <c r="N221" i="13"/>
  <c r="N222" i="13"/>
  <c r="N223" i="13"/>
  <c r="N224" i="13"/>
  <c r="N225" i="13"/>
  <c r="N226" i="13"/>
  <c r="N227" i="13"/>
  <c r="N228" i="13"/>
  <c r="N229" i="13"/>
  <c r="N230" i="13"/>
  <c r="N231" i="13"/>
  <c r="N232" i="13"/>
  <c r="N233" i="13"/>
  <c r="N234" i="13"/>
  <c r="N235" i="13"/>
  <c r="N236" i="13"/>
  <c r="N237" i="13"/>
  <c r="N238" i="13"/>
  <c r="N239" i="13"/>
  <c r="N240" i="13"/>
  <c r="N241" i="13"/>
  <c r="N242" i="13"/>
  <c r="N243" i="13"/>
  <c r="N244" i="13"/>
  <c r="N245" i="13"/>
  <c r="N246" i="13"/>
  <c r="N247" i="13"/>
  <c r="N248" i="13"/>
  <c r="N249" i="13"/>
  <c r="N250" i="13"/>
  <c r="N251" i="13"/>
  <c r="N252" i="13"/>
  <c r="N253" i="13"/>
  <c r="N254" i="13"/>
  <c r="N255" i="13"/>
  <c r="N256" i="13"/>
  <c r="N257" i="13"/>
  <c r="N258" i="13"/>
  <c r="N259" i="13"/>
  <c r="N260" i="13"/>
  <c r="N261" i="13"/>
  <c r="N262" i="13"/>
  <c r="N263" i="13"/>
  <c r="N264" i="13"/>
  <c r="N265" i="13"/>
  <c r="N266" i="13"/>
  <c r="N267" i="13"/>
  <c r="N268" i="13"/>
  <c r="N269" i="13"/>
  <c r="N270" i="13"/>
  <c r="N271" i="13"/>
  <c r="N272" i="13"/>
  <c r="N273" i="13"/>
  <c r="N274" i="13"/>
  <c r="N275" i="13"/>
  <c r="N276" i="13"/>
  <c r="N277" i="13"/>
  <c r="N278" i="13"/>
  <c r="N279" i="13"/>
  <c r="N280" i="13"/>
  <c r="N281" i="13"/>
  <c r="N282" i="13"/>
  <c r="N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1" i="13"/>
  <c r="C112" i="13"/>
  <c r="C113" i="13"/>
  <c r="C114" i="13"/>
  <c r="C115" i="13"/>
  <c r="C116" i="13"/>
  <c r="C117" i="13"/>
  <c r="C118" i="13"/>
  <c r="C119" i="13"/>
  <c r="C120" i="13"/>
  <c r="C121" i="13"/>
  <c r="C122" i="13"/>
  <c r="C123" i="13"/>
  <c r="C124" i="13"/>
  <c r="C125" i="13"/>
  <c r="C126" i="13"/>
  <c r="C127" i="13"/>
  <c r="C128" i="13"/>
  <c r="C129" i="13"/>
  <c r="C130" i="13"/>
  <c r="C131" i="13"/>
  <c r="C132" i="13"/>
  <c r="C133" i="13"/>
  <c r="C134" i="13"/>
  <c r="C135" i="13"/>
  <c r="C136" i="13"/>
  <c r="C137" i="13"/>
  <c r="C138" i="13"/>
  <c r="C139" i="13"/>
  <c r="C140" i="13"/>
  <c r="C141" i="13"/>
  <c r="C142" i="13"/>
  <c r="C143" i="13"/>
  <c r="C144" i="13"/>
  <c r="C145" i="13"/>
  <c r="C146" i="13"/>
  <c r="C147" i="13"/>
  <c r="C148" i="13"/>
  <c r="C149" i="13"/>
  <c r="C150" i="13"/>
  <c r="C151" i="13"/>
  <c r="C152" i="13"/>
  <c r="C153" i="13"/>
  <c r="C154" i="13"/>
  <c r="C155" i="13"/>
  <c r="C156" i="13"/>
  <c r="C157" i="13"/>
  <c r="C158" i="13"/>
  <c r="C159" i="13"/>
  <c r="C160" i="13"/>
  <c r="C161" i="13"/>
  <c r="C162" i="13"/>
  <c r="C163" i="13"/>
  <c r="C164" i="13"/>
  <c r="C165" i="13"/>
  <c r="C166" i="13"/>
  <c r="C167" i="13"/>
  <c r="C168" i="13"/>
  <c r="C169" i="13"/>
  <c r="C170" i="13"/>
  <c r="C171" i="13"/>
  <c r="C172" i="13"/>
  <c r="C173" i="13"/>
  <c r="C174" i="13"/>
  <c r="C175" i="13"/>
  <c r="C176" i="13"/>
  <c r="C177" i="13"/>
  <c r="C178" i="13"/>
  <c r="C179" i="13"/>
  <c r="C180" i="13"/>
  <c r="C181" i="13"/>
  <c r="C182" i="13"/>
  <c r="C183" i="13"/>
  <c r="C184" i="13"/>
  <c r="C185" i="13"/>
  <c r="C186" i="13"/>
  <c r="C187" i="13"/>
  <c r="C188" i="13"/>
  <c r="C189" i="13"/>
  <c r="C190" i="13"/>
  <c r="C191" i="13"/>
  <c r="C192" i="13"/>
  <c r="C193" i="13"/>
  <c r="C194" i="13"/>
  <c r="C195" i="13"/>
  <c r="C196" i="13"/>
  <c r="C197" i="13"/>
  <c r="C198" i="13"/>
  <c r="C199" i="13"/>
  <c r="C200" i="13"/>
  <c r="C201" i="13"/>
  <c r="C202" i="13"/>
  <c r="C203" i="13"/>
  <c r="C204" i="13"/>
  <c r="C205" i="13"/>
  <c r="C206" i="13"/>
  <c r="C207" i="13"/>
  <c r="C208" i="13"/>
  <c r="C209" i="13"/>
  <c r="C210" i="13"/>
  <c r="C211" i="13"/>
  <c r="C212" i="13"/>
  <c r="C213" i="13"/>
  <c r="C214" i="13"/>
  <c r="C215" i="13"/>
  <c r="C216" i="13"/>
  <c r="C217" i="13"/>
  <c r="C218" i="13"/>
  <c r="C219" i="13"/>
  <c r="C220" i="13"/>
  <c r="C221" i="13"/>
  <c r="C222" i="13"/>
  <c r="C223" i="13"/>
  <c r="C224" i="13"/>
  <c r="C225" i="13"/>
  <c r="C226" i="13"/>
  <c r="C227" i="13"/>
  <c r="C228" i="13"/>
  <c r="C229" i="13"/>
  <c r="C230" i="13"/>
  <c r="C231" i="13"/>
  <c r="C232" i="13"/>
  <c r="C233" i="13"/>
  <c r="C234" i="13"/>
  <c r="C235" i="13"/>
  <c r="C236" i="13"/>
  <c r="C237" i="13"/>
  <c r="C238" i="13"/>
  <c r="C239" i="13"/>
  <c r="C240" i="13"/>
  <c r="C241" i="13"/>
  <c r="C242" i="13"/>
  <c r="C243" i="13"/>
  <c r="C244" i="13"/>
  <c r="C245" i="13"/>
  <c r="C246" i="13"/>
  <c r="C247" i="13"/>
  <c r="C248" i="13"/>
  <c r="C249" i="13"/>
  <c r="C250" i="13"/>
  <c r="C251" i="13"/>
  <c r="C252" i="13"/>
  <c r="C253" i="13"/>
  <c r="C254" i="13"/>
  <c r="C255" i="13"/>
  <c r="C256" i="13"/>
  <c r="C257" i="13"/>
  <c r="C258" i="13"/>
  <c r="C259" i="13"/>
  <c r="C260" i="13"/>
  <c r="C261" i="13"/>
  <c r="C262" i="13"/>
  <c r="C263" i="13"/>
  <c r="C264" i="13"/>
  <c r="C265" i="13"/>
  <c r="C266" i="13"/>
  <c r="C267" i="13"/>
  <c r="C268" i="13"/>
  <c r="C269" i="13"/>
  <c r="C270" i="13"/>
  <c r="C271" i="13"/>
  <c r="C272" i="13"/>
  <c r="C273" i="13"/>
  <c r="C274" i="13"/>
  <c r="C275" i="13"/>
  <c r="C276" i="13"/>
  <c r="C277" i="13"/>
  <c r="C278" i="13"/>
  <c r="C279" i="13"/>
  <c r="C280" i="13"/>
  <c r="C281" i="13"/>
  <c r="C282" i="13"/>
  <c r="C5" i="13"/>
  <c r="AZ7" i="9"/>
  <c r="AZ8" i="9"/>
  <c r="AZ9" i="9"/>
  <c r="AZ10" i="9"/>
  <c r="AZ11" i="9"/>
  <c r="AZ12" i="9"/>
  <c r="AZ13" i="9"/>
  <c r="AZ14" i="9"/>
  <c r="AZ15" i="9"/>
  <c r="AZ16" i="9"/>
  <c r="AZ17" i="9"/>
  <c r="AZ18" i="9"/>
  <c r="AZ19" i="9"/>
  <c r="AZ20" i="9"/>
  <c r="AZ21" i="9"/>
  <c r="AZ22" i="9"/>
  <c r="AZ23" i="9"/>
  <c r="AZ24" i="9"/>
  <c r="AZ25" i="9"/>
  <c r="AZ26" i="9"/>
  <c r="AZ27" i="9"/>
  <c r="AZ28" i="9"/>
  <c r="AZ29" i="9"/>
  <c r="AZ30" i="9"/>
  <c r="AZ31" i="9"/>
  <c r="AZ32" i="9"/>
  <c r="AZ33" i="9"/>
  <c r="AZ34" i="9"/>
  <c r="AZ35" i="9"/>
  <c r="AZ36" i="9"/>
  <c r="AZ37" i="9"/>
  <c r="AZ38" i="9"/>
  <c r="AZ39" i="9"/>
  <c r="AZ40" i="9"/>
  <c r="AZ41" i="9"/>
  <c r="AZ42" i="9"/>
  <c r="AZ43" i="9"/>
  <c r="AZ44" i="9"/>
  <c r="AZ45" i="9"/>
  <c r="AZ46" i="9"/>
  <c r="AZ47" i="9"/>
  <c r="AZ48" i="9"/>
  <c r="AZ49" i="9"/>
  <c r="AZ50" i="9"/>
  <c r="AZ51" i="9"/>
  <c r="AZ52" i="9"/>
  <c r="AZ53" i="9"/>
  <c r="AZ54" i="9"/>
  <c r="AZ55" i="9"/>
  <c r="AZ56" i="9"/>
  <c r="AZ57" i="9"/>
  <c r="AZ58" i="9"/>
  <c r="AZ59" i="9"/>
  <c r="AZ60" i="9"/>
  <c r="AZ61" i="9"/>
  <c r="AZ62" i="9"/>
  <c r="AZ63" i="9"/>
  <c r="AZ64" i="9"/>
  <c r="AZ65" i="9"/>
  <c r="AZ66" i="9"/>
  <c r="AZ67" i="9"/>
  <c r="AZ68" i="9"/>
  <c r="AZ69" i="9"/>
  <c r="AZ70" i="9"/>
  <c r="AZ71" i="9"/>
  <c r="AZ72" i="9"/>
  <c r="AZ73" i="9"/>
  <c r="AZ74" i="9"/>
  <c r="AZ75" i="9"/>
  <c r="AZ76" i="9"/>
  <c r="AZ77" i="9"/>
  <c r="AZ78" i="9"/>
  <c r="AZ79" i="9"/>
  <c r="AZ80" i="9"/>
  <c r="AZ81" i="9"/>
  <c r="AZ82" i="9"/>
  <c r="AZ83" i="9"/>
  <c r="AZ84" i="9"/>
  <c r="AZ85" i="9"/>
  <c r="AZ86" i="9"/>
  <c r="AZ87" i="9"/>
  <c r="AZ88" i="9"/>
  <c r="AZ89" i="9"/>
  <c r="AZ90" i="9"/>
  <c r="AZ91" i="9"/>
  <c r="AZ92" i="9"/>
  <c r="AZ93" i="9"/>
  <c r="AZ94" i="9"/>
  <c r="AZ95" i="9"/>
  <c r="AZ96" i="9"/>
  <c r="AZ97" i="9"/>
  <c r="AZ98" i="9"/>
  <c r="AZ99" i="9"/>
  <c r="AZ100" i="9"/>
  <c r="AZ101" i="9"/>
  <c r="AZ102" i="9"/>
  <c r="AZ103" i="9"/>
  <c r="AZ104" i="9"/>
  <c r="AZ105" i="9"/>
  <c r="AZ106" i="9"/>
  <c r="AZ107" i="9"/>
  <c r="AZ108" i="9"/>
  <c r="AZ109" i="9"/>
  <c r="AZ110" i="9"/>
  <c r="AZ111" i="9"/>
  <c r="AZ112" i="9"/>
  <c r="AZ113" i="9"/>
  <c r="AZ114" i="9"/>
  <c r="AZ115" i="9"/>
  <c r="AZ116" i="9"/>
  <c r="AZ117" i="9"/>
  <c r="AZ118" i="9"/>
  <c r="AZ119" i="9"/>
  <c r="AZ120" i="9"/>
  <c r="AZ121" i="9"/>
  <c r="AZ122" i="9"/>
  <c r="AZ123" i="9"/>
  <c r="AZ124" i="9"/>
  <c r="AZ125" i="9"/>
  <c r="AZ126" i="9"/>
  <c r="AZ127" i="9"/>
  <c r="AZ128" i="9"/>
  <c r="AZ129" i="9"/>
  <c r="AZ130" i="9"/>
  <c r="AZ131" i="9"/>
  <c r="AZ132" i="9"/>
  <c r="AZ133" i="9"/>
  <c r="AZ134" i="9"/>
  <c r="AZ135" i="9"/>
  <c r="AZ136" i="9"/>
  <c r="AZ137" i="9"/>
  <c r="AZ138" i="9"/>
  <c r="AZ139" i="9"/>
  <c r="AZ140" i="9"/>
  <c r="AZ141" i="9"/>
  <c r="AZ142" i="9"/>
  <c r="AZ143" i="9"/>
  <c r="AZ144" i="9"/>
  <c r="AZ145" i="9"/>
  <c r="AZ146" i="9"/>
  <c r="AZ147" i="9"/>
  <c r="AZ148" i="9"/>
  <c r="AZ149" i="9"/>
  <c r="AZ150" i="9"/>
  <c r="AZ151" i="9"/>
  <c r="AZ152" i="9"/>
  <c r="AZ153" i="9"/>
  <c r="AZ154" i="9"/>
  <c r="AZ155" i="9"/>
  <c r="AZ156" i="9"/>
  <c r="AZ157" i="9"/>
  <c r="AZ158" i="9"/>
  <c r="AZ159" i="9"/>
  <c r="AZ160" i="9"/>
  <c r="AZ161" i="9"/>
  <c r="AZ162" i="9"/>
  <c r="AZ163" i="9"/>
  <c r="AZ164" i="9"/>
  <c r="AZ165" i="9"/>
  <c r="AZ166" i="9"/>
  <c r="AZ167" i="9"/>
  <c r="AZ168" i="9"/>
  <c r="AZ169" i="9"/>
  <c r="AZ170" i="9"/>
  <c r="AZ171" i="9"/>
  <c r="AZ172" i="9"/>
  <c r="AZ173" i="9"/>
  <c r="AZ174" i="9"/>
  <c r="AZ175" i="9"/>
  <c r="AZ176" i="9"/>
  <c r="AZ177" i="9"/>
  <c r="AZ178" i="9"/>
  <c r="AZ179" i="9"/>
  <c r="AZ180" i="9"/>
  <c r="AZ181" i="9"/>
  <c r="AZ182" i="9"/>
  <c r="AZ183" i="9"/>
  <c r="AZ184" i="9"/>
  <c r="AZ185" i="9"/>
  <c r="AZ186" i="9"/>
  <c r="AZ187" i="9"/>
  <c r="AZ188" i="9"/>
  <c r="AZ189" i="9"/>
  <c r="AZ190" i="9"/>
  <c r="AZ191" i="9"/>
  <c r="AZ192" i="9"/>
  <c r="AZ193" i="9"/>
  <c r="AZ194" i="9"/>
  <c r="AZ195" i="9"/>
  <c r="AZ196" i="9"/>
  <c r="AZ197" i="9"/>
  <c r="AZ198" i="9"/>
  <c r="AZ199" i="9"/>
  <c r="AZ200" i="9"/>
  <c r="AZ201" i="9"/>
  <c r="AZ202" i="9"/>
  <c r="AZ203" i="9"/>
  <c r="AZ204" i="9"/>
  <c r="AZ205" i="9"/>
  <c r="AZ206" i="9"/>
  <c r="AZ207" i="9"/>
  <c r="AZ208" i="9"/>
  <c r="AZ209" i="9"/>
  <c r="AZ210" i="9"/>
  <c r="AZ211" i="9"/>
  <c r="AZ212" i="9"/>
  <c r="AZ213" i="9"/>
  <c r="AZ214" i="9"/>
  <c r="AZ215" i="9"/>
  <c r="AZ216" i="9"/>
  <c r="AZ217" i="9"/>
  <c r="AZ218" i="9"/>
  <c r="AZ219" i="9"/>
  <c r="AZ220" i="9"/>
  <c r="AZ221" i="9"/>
  <c r="AZ222" i="9"/>
  <c r="AZ223" i="9"/>
  <c r="AZ224" i="9"/>
  <c r="AZ225" i="9"/>
  <c r="AZ226" i="9"/>
  <c r="AZ227" i="9"/>
  <c r="AZ228" i="9"/>
  <c r="AZ229" i="9"/>
  <c r="AZ230" i="9"/>
  <c r="AZ231" i="9"/>
  <c r="AZ232" i="9"/>
  <c r="AZ233" i="9"/>
  <c r="AZ234" i="9"/>
  <c r="AZ235" i="9"/>
  <c r="AZ236" i="9"/>
  <c r="AZ237" i="9"/>
  <c r="AZ238" i="9"/>
  <c r="AZ239" i="9"/>
  <c r="AZ240" i="9"/>
  <c r="AZ241" i="9"/>
  <c r="AZ242" i="9"/>
  <c r="AZ243" i="9"/>
  <c r="AZ244" i="9"/>
  <c r="AZ245" i="9"/>
  <c r="AZ246" i="9"/>
  <c r="AZ247" i="9"/>
  <c r="AZ248" i="9"/>
  <c r="AZ249" i="9"/>
  <c r="AZ250" i="9"/>
  <c r="AZ251" i="9"/>
  <c r="AZ252" i="9"/>
  <c r="AZ253" i="9"/>
  <c r="AZ254" i="9"/>
  <c r="AZ255" i="9"/>
  <c r="AZ256" i="9"/>
  <c r="AZ257" i="9"/>
  <c r="AZ258" i="9"/>
  <c r="AZ259" i="9"/>
  <c r="AZ260" i="9"/>
  <c r="AZ261" i="9"/>
  <c r="AZ262" i="9"/>
  <c r="AZ263" i="9"/>
  <c r="AZ264" i="9"/>
  <c r="AZ265" i="9"/>
  <c r="AZ266" i="9"/>
  <c r="AZ267" i="9"/>
  <c r="AZ268" i="9"/>
  <c r="AZ269" i="9"/>
  <c r="AZ270" i="9"/>
  <c r="AZ271" i="9"/>
  <c r="AZ272" i="9"/>
  <c r="AZ273" i="9"/>
  <c r="AZ274" i="9"/>
  <c r="AZ275" i="9"/>
  <c r="AZ276" i="9"/>
  <c r="AZ277" i="9"/>
  <c r="AZ278" i="9"/>
  <c r="AZ279" i="9"/>
  <c r="AZ280" i="9"/>
  <c r="AZ281" i="9"/>
  <c r="AZ5" i="9"/>
  <c r="AD140" i="4"/>
  <c r="AA148" i="4"/>
  <c r="AB148" i="4" s="1"/>
  <c r="AA149" i="4"/>
  <c r="AB149" i="4" s="1"/>
  <c r="AA150" i="4"/>
  <c r="AB150" i="4" s="1"/>
  <c r="AA151" i="4"/>
  <c r="AB151" i="4" s="1"/>
  <c r="AA152" i="4"/>
  <c r="AB152" i="4" s="1"/>
  <c r="AA153" i="4"/>
  <c r="AB153" i="4" s="1"/>
  <c r="AA154" i="4"/>
  <c r="AB154" i="4" s="1"/>
  <c r="AA155" i="4"/>
  <c r="AB155" i="4" s="1"/>
  <c r="AA156" i="4"/>
  <c r="AB156" i="4" s="1"/>
  <c r="AA157" i="4"/>
  <c r="AB157" i="4" s="1"/>
  <c r="AA158" i="4"/>
  <c r="AB158" i="4" s="1"/>
  <c r="AA159" i="4"/>
  <c r="AB159" i="4" s="1"/>
  <c r="AA146" i="4"/>
  <c r="AB146" i="4" s="1"/>
  <c r="AA147" i="4"/>
  <c r="AB147" i="4" s="1"/>
  <c r="AA145" i="4"/>
  <c r="AQ8" i="9"/>
  <c r="AR8" i="9"/>
  <c r="AS8" i="9"/>
  <c r="AT8" i="9"/>
  <c r="AU8" i="9"/>
  <c r="AQ9" i="9"/>
  <c r="AR9" i="9"/>
  <c r="AS9" i="9"/>
  <c r="AT9" i="9"/>
  <c r="AU9" i="9"/>
  <c r="AQ10" i="9"/>
  <c r="AR10" i="9"/>
  <c r="AS10" i="9"/>
  <c r="AT10" i="9"/>
  <c r="AU10" i="9"/>
  <c r="AQ11" i="9"/>
  <c r="AR11" i="9"/>
  <c r="AS11" i="9"/>
  <c r="AT11" i="9"/>
  <c r="AU11" i="9"/>
  <c r="AQ12" i="9"/>
  <c r="AR12" i="9"/>
  <c r="AS12" i="9"/>
  <c r="AT12" i="9"/>
  <c r="AU12" i="9"/>
  <c r="AP12" i="9"/>
  <c r="AP11" i="9"/>
  <c r="AP10" i="9"/>
  <c r="AP9" i="9"/>
  <c r="AP8" i="9"/>
  <c r="DP7" i="26" l="1"/>
  <c r="DO7" i="26"/>
  <c r="DN7" i="26"/>
  <c r="Z148" i="4"/>
  <c r="Z156" i="4"/>
  <c r="Z149" i="4"/>
  <c r="Z157" i="4"/>
  <c r="Z147" i="4"/>
  <c r="Z150" i="4"/>
  <c r="Z158" i="4"/>
  <c r="Z146" i="4"/>
  <c r="Z151" i="4"/>
  <c r="Z159" i="4"/>
  <c r="Z154" i="4"/>
  <c r="Z155" i="4"/>
  <c r="Z152" i="4"/>
  <c r="Z153" i="4"/>
  <c r="AB145" i="4"/>
  <c r="Z145" i="4" s="1"/>
  <c r="Y146" i="4"/>
  <c r="Y150" i="4"/>
  <c r="Y158" i="4"/>
  <c r="Y152" i="4"/>
  <c r="Y151" i="4"/>
  <c r="Y159" i="4"/>
  <c r="Y153" i="4"/>
  <c r="Y154" i="4"/>
  <c r="Y155" i="4"/>
  <c r="Y157" i="4"/>
  <c r="Y148" i="4"/>
  <c r="Y156" i="4"/>
  <c r="Y149" i="4"/>
  <c r="Y147" i="4"/>
  <c r="W25" i="9"/>
  <c r="V25" i="9"/>
  <c r="W24" i="9"/>
  <c r="V24" i="9"/>
  <c r="W23" i="9"/>
  <c r="W22" i="9"/>
  <c r="V22" i="9"/>
  <c r="W21" i="9"/>
  <c r="W20" i="9"/>
  <c r="V20" i="9"/>
  <c r="W19" i="9"/>
  <c r="V19" i="9"/>
  <c r="W18" i="9"/>
  <c r="V18" i="9"/>
  <c r="W17" i="9"/>
  <c r="W16" i="9"/>
  <c r="V16" i="9"/>
  <c r="W15" i="9"/>
  <c r="V15" i="9"/>
  <c r="W14" i="9"/>
  <c r="V14" i="9"/>
  <c r="W11" i="9"/>
  <c r="V11" i="9"/>
  <c r="W10" i="9"/>
  <c r="V10" i="9"/>
  <c r="W9" i="9"/>
  <c r="W8" i="9"/>
  <c r="V8" i="9"/>
  <c r="W7" i="9"/>
  <c r="U25" i="9"/>
  <c r="U24" i="9"/>
  <c r="V23" i="9"/>
  <c r="U23" i="9"/>
  <c r="U22" i="9"/>
  <c r="V21" i="9"/>
  <c r="U21" i="9"/>
  <c r="U20" i="9"/>
  <c r="U19" i="9"/>
  <c r="U18" i="9"/>
  <c r="V17" i="9"/>
  <c r="U17" i="9"/>
  <c r="U16" i="9"/>
  <c r="U15" i="9"/>
  <c r="U14" i="9"/>
  <c r="W13" i="9"/>
  <c r="V13" i="9"/>
  <c r="U13" i="9"/>
  <c r="W12" i="9"/>
  <c r="V12" i="9"/>
  <c r="U12" i="9"/>
  <c r="U11" i="9"/>
  <c r="U10" i="9"/>
  <c r="V9" i="9"/>
  <c r="U9" i="9"/>
  <c r="U8" i="9"/>
  <c r="V7" i="9"/>
  <c r="U7" i="9"/>
  <c r="U6" i="9"/>
  <c r="U5" i="9"/>
  <c r="Z32" i="10"/>
  <c r="Z31" i="10"/>
  <c r="Z30" i="10"/>
  <c r="Z29" i="10"/>
  <c r="Z27" i="10"/>
  <c r="L32" i="10"/>
  <c r="L31" i="10"/>
  <c r="L29" i="10"/>
  <c r="Z16" i="10"/>
  <c r="Z14" i="10"/>
  <c r="Z11" i="10"/>
  <c r="Z10" i="10"/>
  <c r="L17" i="10"/>
  <c r="L16" i="10"/>
  <c r="L15" i="10"/>
  <c r="L14" i="10"/>
  <c r="L13" i="10"/>
  <c r="L12" i="10"/>
  <c r="L11" i="10"/>
  <c r="L10" i="10"/>
  <c r="DM7" i="26" l="1"/>
  <c r="Z6" i="9"/>
  <c r="AA6" i="9"/>
  <c r="X6" i="9"/>
  <c r="Y6" i="9"/>
  <c r="AA7" i="9"/>
  <c r="Z7" i="9"/>
  <c r="X7" i="9"/>
  <c r="Y7" i="9"/>
  <c r="AE12" i="9"/>
  <c r="AC12" i="9"/>
  <c r="AB12" i="9"/>
  <c r="AD12" i="9"/>
  <c r="X17" i="9"/>
  <c r="Y17" i="9"/>
  <c r="AA17" i="9"/>
  <c r="Z17" i="9"/>
  <c r="AA23" i="9"/>
  <c r="Z23" i="9"/>
  <c r="X23" i="9"/>
  <c r="Y23" i="9"/>
  <c r="AE10" i="9"/>
  <c r="AD10" i="9"/>
  <c r="AB10" i="9"/>
  <c r="AC10" i="9"/>
  <c r="AE16" i="9"/>
  <c r="AD16" i="9"/>
  <c r="AC16" i="9"/>
  <c r="AB16" i="9"/>
  <c r="AF20" i="9"/>
  <c r="AI20" i="9"/>
  <c r="AG20" i="9"/>
  <c r="AH20" i="9"/>
  <c r="AF25" i="9"/>
  <c r="AH25" i="9"/>
  <c r="AG25" i="9"/>
  <c r="AI25" i="9"/>
  <c r="X13" i="9"/>
  <c r="Y13" i="9"/>
  <c r="AA13" i="9"/>
  <c r="Z13" i="9"/>
  <c r="Z18" i="9"/>
  <c r="AA18" i="9"/>
  <c r="X18" i="9"/>
  <c r="Y18" i="9"/>
  <c r="Z24" i="9"/>
  <c r="X24" i="9"/>
  <c r="AA24" i="9"/>
  <c r="Y24" i="9"/>
  <c r="AB11" i="9"/>
  <c r="AD11" i="9"/>
  <c r="AC11" i="9"/>
  <c r="AE11" i="9"/>
  <c r="AF17" i="9"/>
  <c r="AH17" i="9"/>
  <c r="AG17" i="9"/>
  <c r="AI17" i="9"/>
  <c r="AE22" i="9"/>
  <c r="AD22" i="9"/>
  <c r="AB22" i="9"/>
  <c r="AC22" i="9"/>
  <c r="X9" i="9"/>
  <c r="Y9" i="9"/>
  <c r="Z9" i="9"/>
  <c r="AA9" i="9"/>
  <c r="AB13" i="9"/>
  <c r="AC13" i="9"/>
  <c r="AD13" i="9"/>
  <c r="AE13" i="9"/>
  <c r="AA19" i="9"/>
  <c r="Z19" i="9"/>
  <c r="X19" i="9"/>
  <c r="Y19" i="9"/>
  <c r="X25" i="9"/>
  <c r="Y25" i="9"/>
  <c r="Z25" i="9"/>
  <c r="AA25" i="9"/>
  <c r="AF11" i="9"/>
  <c r="AI11" i="9"/>
  <c r="AG11" i="9"/>
  <c r="AH11" i="9"/>
  <c r="AE18" i="9"/>
  <c r="AD18" i="9"/>
  <c r="AB18" i="9"/>
  <c r="AC18" i="9"/>
  <c r="AF22" i="9"/>
  <c r="AG22" i="9"/>
  <c r="AI22" i="9"/>
  <c r="AH22" i="9"/>
  <c r="AB7" i="9"/>
  <c r="AC7" i="9"/>
  <c r="AD7" i="9"/>
  <c r="AE7" i="9"/>
  <c r="AI21" i="9"/>
  <c r="AF21" i="9"/>
  <c r="AH21" i="9"/>
  <c r="AG21" i="9"/>
  <c r="Y8" i="9"/>
  <c r="Z8" i="9"/>
  <c r="X8" i="9"/>
  <c r="AA8" i="9"/>
  <c r="AD9" i="9"/>
  <c r="AB9" i="9"/>
  <c r="AC9" i="9"/>
  <c r="AE9" i="9"/>
  <c r="AI13" i="9"/>
  <c r="AF13" i="9"/>
  <c r="AH13" i="9"/>
  <c r="AG13" i="9"/>
  <c r="Y20" i="9"/>
  <c r="Z20" i="9"/>
  <c r="AA20" i="9"/>
  <c r="X20" i="9"/>
  <c r="AF7" i="9"/>
  <c r="AG7" i="9"/>
  <c r="AH7" i="9"/>
  <c r="AI7" i="9"/>
  <c r="AE14" i="9"/>
  <c r="AD14" i="9"/>
  <c r="AB14" i="9"/>
  <c r="AC14" i="9"/>
  <c r="AF18" i="9"/>
  <c r="AG18" i="9"/>
  <c r="AI18" i="9"/>
  <c r="AH18" i="9"/>
  <c r="AI23" i="9"/>
  <c r="AF23" i="9"/>
  <c r="AG23" i="9"/>
  <c r="AH23" i="9"/>
  <c r="AB17" i="9"/>
  <c r="AD17" i="9"/>
  <c r="AC17" i="9"/>
  <c r="AE17" i="9"/>
  <c r="AF10" i="9"/>
  <c r="AG10" i="9"/>
  <c r="AH10" i="9"/>
  <c r="AI10" i="9"/>
  <c r="Z10" i="9"/>
  <c r="AA10" i="9"/>
  <c r="Y10" i="9"/>
  <c r="X10" i="9"/>
  <c r="Z14" i="9"/>
  <c r="Y14" i="9"/>
  <c r="AA14" i="9"/>
  <c r="X14" i="9"/>
  <c r="X21" i="9"/>
  <c r="AA21" i="9"/>
  <c r="Y21" i="9"/>
  <c r="Z21" i="9"/>
  <c r="AE8" i="9"/>
  <c r="AD8" i="9"/>
  <c r="AC8" i="9"/>
  <c r="AB8" i="9"/>
  <c r="AF14" i="9"/>
  <c r="AG14" i="9"/>
  <c r="AI14" i="9"/>
  <c r="AH14" i="9"/>
  <c r="AD19" i="9"/>
  <c r="AB19" i="9"/>
  <c r="AC19" i="9"/>
  <c r="AE19" i="9"/>
  <c r="AE24" i="9"/>
  <c r="AC24" i="9"/>
  <c r="AD24" i="9"/>
  <c r="AB24" i="9"/>
  <c r="AA5" i="9"/>
  <c r="X5" i="9"/>
  <c r="Z5" i="9"/>
  <c r="Y5" i="9"/>
  <c r="Z11" i="9"/>
  <c r="AA11" i="9"/>
  <c r="X11" i="9"/>
  <c r="Y11" i="9"/>
  <c r="AA15" i="9"/>
  <c r="Z15" i="9"/>
  <c r="X15" i="9"/>
  <c r="Y15" i="9"/>
  <c r="AB21" i="9"/>
  <c r="AC21" i="9"/>
  <c r="AD21" i="9"/>
  <c r="AE21" i="9"/>
  <c r="AF8" i="9"/>
  <c r="AG8" i="9"/>
  <c r="AI8" i="9"/>
  <c r="AH8" i="9"/>
  <c r="AD15" i="9"/>
  <c r="AB15" i="9"/>
  <c r="AC15" i="9"/>
  <c r="AE15" i="9"/>
  <c r="AF19" i="9"/>
  <c r="AI19" i="9"/>
  <c r="AG19" i="9"/>
  <c r="AH19" i="9"/>
  <c r="AF24" i="9"/>
  <c r="AI24" i="9"/>
  <c r="AG24" i="9"/>
  <c r="AH24" i="9"/>
  <c r="AF12" i="9"/>
  <c r="AI12" i="9"/>
  <c r="AG12" i="9"/>
  <c r="AH12" i="9"/>
  <c r="AB23" i="9"/>
  <c r="AD23" i="9"/>
  <c r="AC23" i="9"/>
  <c r="AE23" i="9"/>
  <c r="AF16" i="9"/>
  <c r="AI16" i="9"/>
  <c r="AG16" i="9"/>
  <c r="AH16" i="9"/>
  <c r="Y12" i="9"/>
  <c r="Z12" i="9"/>
  <c r="AA12" i="9"/>
  <c r="X12" i="9"/>
  <c r="Z16" i="9"/>
  <c r="X16" i="9"/>
  <c r="Y16" i="9"/>
  <c r="AA16" i="9"/>
  <c r="Z22" i="9"/>
  <c r="AA22" i="9"/>
  <c r="Y22" i="9"/>
  <c r="X22" i="9"/>
  <c r="AI9" i="9"/>
  <c r="AF9" i="9"/>
  <c r="AH9" i="9"/>
  <c r="AG9" i="9"/>
  <c r="AI15" i="9"/>
  <c r="AF15" i="9"/>
  <c r="AG15" i="9"/>
  <c r="AH15" i="9"/>
  <c r="AE20" i="9"/>
  <c r="AC20" i="9"/>
  <c r="AB20" i="9"/>
  <c r="AD20" i="9"/>
  <c r="AD25" i="9"/>
  <c r="AB25" i="9"/>
  <c r="AC25" i="9"/>
  <c r="AE25" i="9"/>
  <c r="L20" i="10"/>
  <c r="Y145" i="4"/>
  <c r="AD158" i="4"/>
  <c r="AC158" i="4"/>
  <c r="AK158" i="4"/>
  <c r="AF158" i="4"/>
  <c r="AE158" i="4"/>
  <c r="AJ158" i="4"/>
  <c r="AI158" i="4"/>
  <c r="AH158" i="4"/>
  <c r="AI145" i="4"/>
  <c r="AH145" i="4"/>
  <c r="AF145" i="4"/>
  <c r="AE145" i="4"/>
  <c r="AD145" i="4"/>
  <c r="AC145" i="4"/>
  <c r="AK145" i="4"/>
  <c r="AJ145" i="4"/>
  <c r="AD150" i="4"/>
  <c r="AC150" i="4"/>
  <c r="AF150" i="4"/>
  <c r="AK150" i="4"/>
  <c r="AE150" i="4"/>
  <c r="AJ150" i="4"/>
  <c r="AI150" i="4"/>
  <c r="AH150" i="4"/>
  <c r="AD152" i="4"/>
  <c r="AC152" i="4"/>
  <c r="AK152" i="4"/>
  <c r="AJ152" i="4"/>
  <c r="AF152" i="4"/>
  <c r="AE152" i="4"/>
  <c r="AI152" i="4"/>
  <c r="AH152" i="4"/>
  <c r="AI147" i="4"/>
  <c r="AH147" i="4"/>
  <c r="AJ147" i="4"/>
  <c r="AF147" i="4"/>
  <c r="AE147" i="4"/>
  <c r="AD147" i="4"/>
  <c r="AC147" i="4"/>
  <c r="AK147" i="4"/>
  <c r="AD146" i="4"/>
  <c r="AE146" i="4"/>
  <c r="AC146" i="4"/>
  <c r="AK146" i="4"/>
  <c r="AJ146" i="4"/>
  <c r="AI146" i="4"/>
  <c r="AH146" i="4"/>
  <c r="AF146" i="4"/>
  <c r="AI155" i="4"/>
  <c r="AH155" i="4"/>
  <c r="AJ155" i="4"/>
  <c r="AF155" i="4"/>
  <c r="AK155" i="4"/>
  <c r="AE155" i="4"/>
  <c r="AD155" i="4"/>
  <c r="AC155" i="4"/>
  <c r="AI157" i="4"/>
  <c r="AK157" i="4"/>
  <c r="AJ157" i="4"/>
  <c r="AH157" i="4"/>
  <c r="AF157" i="4"/>
  <c r="AE157" i="4"/>
  <c r="AD157" i="4"/>
  <c r="AC157" i="4"/>
  <c r="AI153" i="4"/>
  <c r="AH153" i="4"/>
  <c r="AF153" i="4"/>
  <c r="AJ153" i="4"/>
  <c r="AE153" i="4"/>
  <c r="AK153" i="4"/>
  <c r="AD153" i="4"/>
  <c r="AC153" i="4"/>
  <c r="AD154" i="4"/>
  <c r="AE154" i="4"/>
  <c r="AC154" i="4"/>
  <c r="AK154" i="4"/>
  <c r="AF154" i="4"/>
  <c r="AJ154" i="4"/>
  <c r="AI154" i="4"/>
  <c r="AH154" i="4"/>
  <c r="AI149" i="4"/>
  <c r="AJ149" i="4"/>
  <c r="AH149" i="4"/>
  <c r="AF149" i="4"/>
  <c r="AK149" i="4"/>
  <c r="AE149" i="4"/>
  <c r="AD149" i="4"/>
  <c r="AC149" i="4"/>
  <c r="AI159" i="4"/>
  <c r="AH159" i="4"/>
  <c r="AK159" i="4"/>
  <c r="AF159" i="4"/>
  <c r="AE159" i="4"/>
  <c r="AD159" i="4"/>
  <c r="AC159" i="4"/>
  <c r="AJ159" i="4"/>
  <c r="AD156" i="4"/>
  <c r="AC156" i="4"/>
  <c r="AE156" i="4"/>
  <c r="AK156" i="4"/>
  <c r="AJ156" i="4"/>
  <c r="AI156" i="4"/>
  <c r="AH156" i="4"/>
  <c r="AF156" i="4"/>
  <c r="AI151" i="4"/>
  <c r="AH151" i="4"/>
  <c r="AF151" i="4"/>
  <c r="AE151" i="4"/>
  <c r="AJ151" i="4"/>
  <c r="AD151" i="4"/>
  <c r="AC151" i="4"/>
  <c r="AK151" i="4"/>
  <c r="AD148" i="4"/>
  <c r="AF148" i="4"/>
  <c r="AC148" i="4"/>
  <c r="AK148" i="4"/>
  <c r="AJ148" i="4"/>
  <c r="AI148" i="4"/>
  <c r="AH148" i="4"/>
  <c r="AE148" i="4"/>
  <c r="D139" i="8"/>
  <c r="K28" i="8"/>
  <c r="AK81" i="6" l="1"/>
  <c r="AK77" i="6"/>
  <c r="AK83" i="6"/>
  <c r="AJ83" i="6"/>
  <c r="AJ77" i="6"/>
  <c r="AJ81" i="6"/>
  <c r="AK82" i="6"/>
  <c r="AK80" i="6"/>
  <c r="AK84" i="6"/>
  <c r="AJ82" i="6"/>
  <c r="AJ80" i="6"/>
  <c r="AJ84" i="6"/>
  <c r="AM84" i="6"/>
  <c r="AM82" i="6"/>
  <c r="AL82" i="6"/>
  <c r="AL84" i="6"/>
  <c r="AM83" i="6"/>
  <c r="AM81" i="6"/>
  <c r="AL81" i="6"/>
  <c r="AL83" i="6"/>
  <c r="AM77" i="6"/>
  <c r="AL77" i="6"/>
  <c r="AM80" i="6"/>
  <c r="AL80" i="6"/>
  <c r="HA7" i="26"/>
  <c r="K46" i="8"/>
  <c r="K51" i="8" s="1"/>
  <c r="N163" i="7"/>
  <c r="J288" i="6"/>
  <c r="O290" i="6" s="1"/>
  <c r="L92" i="6" l="1"/>
  <c r="L91" i="6"/>
  <c r="J91" i="6"/>
  <c r="R109" i="6" s="1"/>
  <c r="J92" i="6"/>
  <c r="R110" i="6" s="1"/>
  <c r="N185" i="7"/>
  <c r="N184" i="7"/>
  <c r="P184" i="7" s="1"/>
  <c r="P169" i="7"/>
  <c r="P170" i="7"/>
  <c r="N46" i="8"/>
  <c r="O152" i="7"/>
  <c r="O151" i="7"/>
  <c r="U147" i="6"/>
  <c r="U87" i="7"/>
  <c r="S87" i="7"/>
  <c r="S147" i="6"/>
  <c r="R197" i="6"/>
  <c r="DY7" i="26" s="1"/>
  <c r="T182" i="6"/>
  <c r="P173" i="7" l="1"/>
  <c r="FM7" i="26" s="1"/>
  <c r="M121" i="6"/>
  <c r="IB7" i="26" s="1"/>
  <c r="P181" i="7"/>
  <c r="DR7" i="26"/>
  <c r="DQ7" i="26"/>
  <c r="P185" i="7"/>
  <c r="V6" i="9"/>
  <c r="W5" i="9"/>
  <c r="O247" i="5"/>
  <c r="CU7" i="26" s="1"/>
  <c r="T34" i="5"/>
  <c r="AA4" i="10"/>
  <c r="Y4" i="8"/>
  <c r="Y4" i="7"/>
  <c r="AB4" i="6"/>
  <c r="AA4" i="5"/>
  <c r="V1" i="4"/>
  <c r="O27" i="4"/>
  <c r="AM7" i="26" s="1"/>
  <c r="J283" i="6"/>
  <c r="L280" i="6"/>
  <c r="Y34" i="5" l="1"/>
  <c r="BW7" i="26" s="1"/>
  <c r="O285" i="6"/>
  <c r="AI5" i="9"/>
  <c r="AH5" i="9"/>
  <c r="AF5" i="9"/>
  <c r="AG5" i="9"/>
  <c r="AE6" i="9"/>
  <c r="AD6" i="9"/>
  <c r="AB6" i="9"/>
  <c r="AC6" i="9"/>
  <c r="O356" i="6"/>
  <c r="P84" i="8"/>
  <c r="Q98" i="7"/>
  <c r="O322" i="7"/>
  <c r="N238" i="6"/>
  <c r="L215" i="8"/>
  <c r="W6" i="9"/>
  <c r="V5" i="9"/>
  <c r="M85" i="8"/>
  <c r="GU7" i="26" l="1"/>
  <c r="AB5" i="9"/>
  <c r="U148" i="6" s="1"/>
  <c r="AE5" i="9"/>
  <c r="S88" i="7" s="1"/>
  <c r="AD5" i="9"/>
  <c r="U88" i="7" s="1"/>
  <c r="AC5" i="9"/>
  <c r="S148" i="6" s="1"/>
  <c r="AF6" i="9"/>
  <c r="U149" i="6" s="1"/>
  <c r="AI6" i="9"/>
  <c r="S89" i="7" s="1"/>
  <c r="AG6" i="9"/>
  <c r="S149" i="6" s="1"/>
  <c r="AH6" i="9"/>
  <c r="U89" i="7" s="1"/>
  <c r="L365" i="6"/>
  <c r="L364" i="6"/>
  <c r="O357" i="6"/>
  <c r="L363" i="6"/>
  <c r="R318" i="7"/>
  <c r="N240" i="6"/>
  <c r="EC7" i="26" s="1"/>
  <c r="R232" i="6"/>
  <c r="O87" i="8"/>
  <c r="P27" i="4"/>
  <c r="Q27" i="4"/>
  <c r="L216" i="8" l="1"/>
  <c r="IE7" i="26" s="1"/>
  <c r="N364" i="6"/>
  <c r="N216" i="8" s="1"/>
  <c r="L217" i="8"/>
  <c r="IF7" i="26" s="1"/>
  <c r="N365" i="6"/>
  <c r="N217" i="8" s="1"/>
  <c r="GV7" i="26"/>
  <c r="EV7" i="26"/>
  <c r="EW7" i="26"/>
  <c r="EU7" i="26"/>
  <c r="Q95" i="7"/>
  <c r="Q156" i="6"/>
  <c r="N363" i="6"/>
  <c r="Q155" i="6"/>
  <c r="Q96" i="7"/>
  <c r="O52" i="4"/>
  <c r="EY7" i="26" l="1"/>
  <c r="ES7" i="26"/>
  <c r="EZ7" i="26"/>
  <c r="EX7" i="26"/>
  <c r="AC97" i="7"/>
  <c r="AD97" i="7" s="1"/>
  <c r="AH151" i="6"/>
  <c r="AK151" i="6" s="1"/>
  <c r="L290" i="6"/>
  <c r="L285" i="6"/>
  <c r="AF97" i="7" l="1"/>
  <c r="AE97" i="7"/>
  <c r="AG97" i="7" s="1"/>
  <c r="S97" i="7" s="1"/>
  <c r="AI151" i="6"/>
  <c r="AJ151" i="6"/>
  <c r="N160" i="7"/>
  <c r="L166" i="8"/>
  <c r="P154" i="8" s="1"/>
  <c r="J123" i="8"/>
  <c r="N118" i="8" s="1"/>
  <c r="R188" i="6"/>
  <c r="I140" i="5"/>
  <c r="T18" i="5"/>
  <c r="T19" i="5"/>
  <c r="T20" i="5"/>
  <c r="T21" i="5"/>
  <c r="T22" i="5"/>
  <c r="T23" i="5"/>
  <c r="T24" i="5"/>
  <c r="T25" i="5"/>
  <c r="T26" i="5"/>
  <c r="T27" i="5"/>
  <c r="T28" i="5"/>
  <c r="T29" i="5"/>
  <c r="T30" i="5"/>
  <c r="T31" i="5"/>
  <c r="T32" i="5"/>
  <c r="T33" i="5"/>
  <c r="T17" i="5"/>
  <c r="K189" i="8"/>
  <c r="X30" i="10"/>
  <c r="N121" i="7"/>
  <c r="J325" i="6"/>
  <c r="J17" i="10"/>
  <c r="J16" i="10"/>
  <c r="I199" i="5"/>
  <c r="CN7" i="26" s="1"/>
  <c r="I136" i="5"/>
  <c r="L136" i="5" s="1"/>
  <c r="I135" i="5"/>
  <c r="L135" i="5" s="1"/>
  <c r="I134" i="5"/>
  <c r="L134" i="5" s="1"/>
  <c r="L137" i="5"/>
  <c r="P25" i="4"/>
  <c r="Q25" i="4"/>
  <c r="P52" i="4"/>
  <c r="FI7" i="26" l="1"/>
  <c r="L328" i="6"/>
  <c r="FV7" i="26"/>
  <c r="AF47" i="7"/>
  <c r="Y32" i="5"/>
  <c r="BU7" i="26" s="1"/>
  <c r="Y31" i="5"/>
  <c r="BT7" i="26" s="1"/>
  <c r="Y28" i="5"/>
  <c r="BQ7" i="26" s="1"/>
  <c r="W24" i="5"/>
  <c r="Y30" i="5"/>
  <c r="BS7" i="26" s="1"/>
  <c r="Y29" i="5"/>
  <c r="BR7" i="26" s="1"/>
  <c r="Y33" i="5"/>
  <c r="BV7" i="26" s="1"/>
  <c r="Y25" i="5"/>
  <c r="BN7" i="26" s="1"/>
  <c r="P23" i="4"/>
  <c r="N122" i="7"/>
  <c r="FK7" i="26" s="1"/>
  <c r="L180" i="5"/>
  <c r="CM7" i="26" s="1"/>
  <c r="AF46" i="7"/>
  <c r="Y17" i="5"/>
  <c r="BG7" i="26" s="1"/>
  <c r="W17" i="5"/>
  <c r="W23" i="5"/>
  <c r="Y23" i="5"/>
  <c r="BM7" i="26" s="1"/>
  <c r="Y22" i="5"/>
  <c r="BL7" i="26" s="1"/>
  <c r="W22" i="5"/>
  <c r="Y21" i="5"/>
  <c r="BK7" i="26" s="1"/>
  <c r="W21" i="5"/>
  <c r="Y18" i="5"/>
  <c r="BH7" i="26" s="1"/>
  <c r="W18" i="5"/>
  <c r="Y20" i="5"/>
  <c r="BJ7" i="26" s="1"/>
  <c r="W20" i="5"/>
  <c r="Y26" i="5"/>
  <c r="BO7" i="26" s="1"/>
  <c r="W26" i="5"/>
  <c r="W27" i="5"/>
  <c r="Y27" i="5"/>
  <c r="BP7" i="26" s="1"/>
  <c r="W19" i="5"/>
  <c r="Y19" i="5"/>
  <c r="BI7" i="26" s="1"/>
  <c r="O143" i="7"/>
  <c r="R189" i="6"/>
  <c r="T187" i="6"/>
  <c r="N171" i="7"/>
  <c r="K190" i="8"/>
  <c r="L199" i="5"/>
  <c r="CO7" i="26" s="1"/>
  <c r="U25" i="4"/>
  <c r="J124" i="8"/>
  <c r="L167" i="8"/>
  <c r="O323" i="7"/>
  <c r="Q23" i="4"/>
  <c r="AL151" i="6" l="1"/>
  <c r="S157" i="6" s="1"/>
  <c r="DT7" i="26" s="1"/>
  <c r="W219" i="8"/>
  <c r="N353" i="7"/>
  <c r="GO7" i="26"/>
  <c r="HB7" i="26"/>
  <c r="GX7" i="26"/>
  <c r="N111" i="5"/>
  <c r="N112" i="5" s="1"/>
  <c r="CG7" i="26" s="1"/>
  <c r="N109" i="5"/>
  <c r="CI7" i="26" s="1"/>
  <c r="HD7" i="26"/>
  <c r="J293" i="6"/>
  <c r="W353" i="7"/>
  <c r="L35" i="10" s="1"/>
  <c r="GI7" i="26"/>
  <c r="EQ7" i="26"/>
  <c r="EO7" i="26"/>
  <c r="EN7" i="26"/>
  <c r="T46" i="5"/>
  <c r="T48" i="5" s="1"/>
  <c r="BF7" i="26" s="1"/>
  <c r="P122" i="7"/>
  <c r="T51" i="5"/>
  <c r="I141" i="5"/>
  <c r="L141" i="5" s="1"/>
  <c r="P84" i="5"/>
  <c r="P85" i="5" s="1"/>
  <c r="CE7" i="26" s="1"/>
  <c r="P25" i="6"/>
  <c r="J15" i="10"/>
  <c r="J14" i="10"/>
  <c r="Q324" i="7"/>
  <c r="X16" i="10"/>
  <c r="M55" i="7"/>
  <c r="FE7" i="26" s="1"/>
  <c r="O12" i="8"/>
  <c r="O297" i="7"/>
  <c r="HR7" i="26" s="1"/>
  <c r="O291" i="7"/>
  <c r="Q159" i="6"/>
  <c r="O23" i="4"/>
  <c r="L329" i="6"/>
  <c r="O292" i="7"/>
  <c r="O298" i="7"/>
  <c r="HS7" i="26" s="1"/>
  <c r="M90" i="8"/>
  <c r="N241" i="8"/>
  <c r="M91" i="8"/>
  <c r="N241" i="6"/>
  <c r="T44" i="5"/>
  <c r="L153" i="5"/>
  <c r="R194" i="6"/>
  <c r="DX7" i="26" s="1"/>
  <c r="Q99" i="7"/>
  <c r="W100" i="7" s="1"/>
  <c r="W325" i="7"/>
  <c r="L34" i="10" s="1"/>
  <c r="N243" i="7"/>
  <c r="FW7" i="26" s="1"/>
  <c r="N237" i="6"/>
  <c r="P46" i="6"/>
  <c r="S82" i="5"/>
  <c r="N219" i="8"/>
  <c r="IG7" i="26" s="1"/>
  <c r="M51" i="8"/>
  <c r="M208" i="7"/>
  <c r="L124" i="8"/>
  <c r="N167" i="8"/>
  <c r="AC190" i="8"/>
  <c r="M190" i="8" s="1"/>
  <c r="Z28" i="10"/>
  <c r="L362" i="6"/>
  <c r="J331" i="6"/>
  <c r="L332" i="6" s="1"/>
  <c r="J213" i="7"/>
  <c r="J215" i="7" s="1"/>
  <c r="FS7" i="26" s="1"/>
  <c r="M53" i="6"/>
  <c r="M55" i="6" s="1"/>
  <c r="P55" i="6" s="1"/>
  <c r="N159" i="7"/>
  <c r="M59" i="7"/>
  <c r="J35" i="10" l="1"/>
  <c r="HY7" i="26"/>
  <c r="S160" i="6"/>
  <c r="X13" i="10" s="1"/>
  <c r="X10" i="10"/>
  <c r="CY7" i="26"/>
  <c r="AK7" i="26"/>
  <c r="DD7" i="26"/>
  <c r="DC7" i="26"/>
  <c r="J294" i="6"/>
  <c r="L294" i="6" s="1"/>
  <c r="J295" i="6"/>
  <c r="P243" i="7"/>
  <c r="FX7" i="26" s="1"/>
  <c r="W366" i="6"/>
  <c r="N366" i="6"/>
  <c r="O276" i="7"/>
  <c r="O290" i="7" s="1"/>
  <c r="FL7" i="26"/>
  <c r="HE7" i="26"/>
  <c r="HC7" i="26"/>
  <c r="GY7" i="26"/>
  <c r="GP7" i="26"/>
  <c r="S85" i="5"/>
  <c r="CF7" i="26" s="1"/>
  <c r="Q112" i="5"/>
  <c r="GJ7" i="26"/>
  <c r="ER7" i="26"/>
  <c r="DU7" i="26"/>
  <c r="P242" i="8"/>
  <c r="X33" i="10"/>
  <c r="J29" i="10"/>
  <c r="R231" i="6"/>
  <c r="Q299" i="7"/>
  <c r="W332" i="6"/>
  <c r="Z18" i="10" s="1"/>
  <c r="J296" i="6"/>
  <c r="W41" i="5"/>
  <c r="L152" i="5"/>
  <c r="CJ7" i="26" s="1"/>
  <c r="Q325" i="7"/>
  <c r="J34" i="10" s="1"/>
  <c r="Q292" i="7"/>
  <c r="Q298" i="7" s="1"/>
  <c r="Q291" i="7"/>
  <c r="Q297" i="7" s="1"/>
  <c r="X31" i="10"/>
  <c r="X29" i="10"/>
  <c r="X27" i="10"/>
  <c r="L215" i="7"/>
  <c r="FT7" i="26" s="1"/>
  <c r="AD55" i="7"/>
  <c r="P55" i="7" s="1"/>
  <c r="AF55" i="7"/>
  <c r="R199" i="6"/>
  <c r="W160" i="6"/>
  <c r="Q161" i="7"/>
  <c r="Q162" i="7"/>
  <c r="Q163" i="7"/>
  <c r="W242" i="8"/>
  <c r="S100" i="7"/>
  <c r="O92" i="8"/>
  <c r="W242" i="6"/>
  <c r="J297" i="6"/>
  <c r="Z33" i="10"/>
  <c r="X32" i="10"/>
  <c r="M60" i="7"/>
  <c r="P58" i="7"/>
  <c r="T52" i="5"/>
  <c r="T53" i="5" s="1"/>
  <c r="BY7" i="26" s="1"/>
  <c r="K123" i="6"/>
  <c r="AE85" i="5"/>
  <c r="L28" i="10"/>
  <c r="N239" i="6"/>
  <c r="P239" i="6" s="1"/>
  <c r="P240" i="6"/>
  <c r="BE7" i="26" l="1"/>
  <c r="R200" i="6"/>
  <c r="EA7" i="26"/>
  <c r="CH7" i="26"/>
  <c r="EI7" i="26"/>
  <c r="M124" i="6"/>
  <c r="ED7" i="26"/>
  <c r="P242" i="6"/>
  <c r="EF7" i="26" s="1"/>
  <c r="O289" i="7"/>
  <c r="Q289" i="7" s="1"/>
  <c r="FJ7" i="26"/>
  <c r="FG7" i="26"/>
  <c r="GW7" i="26"/>
  <c r="FF7" i="26"/>
  <c r="GK7" i="26"/>
  <c r="EK7" i="26"/>
  <c r="FA7" i="26"/>
  <c r="EE7" i="26"/>
  <c r="ET7" i="26"/>
  <c r="EL7" i="26"/>
  <c r="EJ7" i="26"/>
  <c r="EB7" i="26"/>
  <c r="HG7" i="26"/>
  <c r="W48" i="5"/>
  <c r="O296" i="7"/>
  <c r="Q290" i="7"/>
  <c r="X34" i="10"/>
  <c r="P187" i="7"/>
  <c r="R277" i="7"/>
  <c r="O295" i="7"/>
  <c r="Z19" i="10"/>
  <c r="Z34" i="10"/>
  <c r="Z37" i="10" s="1"/>
  <c r="Z15" i="10"/>
  <c r="Z13" i="10"/>
  <c r="L154" i="5"/>
  <c r="X19" i="10"/>
  <c r="X18" i="10"/>
  <c r="J28" i="10"/>
  <c r="R259" i="8"/>
  <c r="BD7" i="26" s="1"/>
  <c r="J32" i="10"/>
  <c r="J31" i="10"/>
  <c r="L297" i="6"/>
  <c r="L295" i="6"/>
  <c r="L296" i="6"/>
  <c r="X11" i="10"/>
  <c r="J11" i="10"/>
  <c r="R273" i="7"/>
  <c r="O124" i="6"/>
  <c r="W259" i="8"/>
  <c r="X28" i="10"/>
  <c r="W299" i="6"/>
  <c r="M62" i="7"/>
  <c r="N190" i="7"/>
  <c r="W191" i="7" s="1"/>
  <c r="X14" i="10" l="1"/>
  <c r="IC7" i="26"/>
  <c r="L299" i="6"/>
  <c r="X37" i="10"/>
  <c r="J47" i="10" s="1"/>
  <c r="L47" i="10" s="1"/>
  <c r="GB7" i="26"/>
  <c r="FO7" i="26"/>
  <c r="GG7" i="26"/>
  <c r="DS7" i="26"/>
  <c r="W300" i="7"/>
  <c r="L30" i="10"/>
  <c r="W53" i="5"/>
  <c r="W56" i="5"/>
  <c r="Z17" i="10"/>
  <c r="W64" i="7"/>
  <c r="P64" i="7"/>
  <c r="J12" i="10"/>
  <c r="O154" i="5"/>
  <c r="CK7" i="26" s="1"/>
  <c r="Z12" i="10"/>
  <c r="W383" i="6"/>
  <c r="P191" i="7"/>
  <c r="FP7" i="26" s="1"/>
  <c r="X12" i="10"/>
  <c r="Z20" i="10" l="1"/>
  <c r="W370" i="7"/>
  <c r="FH7" i="26"/>
  <c r="EM7" i="26"/>
  <c r="Q296" i="7"/>
  <c r="L27" i="10"/>
  <c r="L33" i="10"/>
  <c r="W58" i="5"/>
  <c r="CB7" i="26" s="1"/>
  <c r="X17" i="10"/>
  <c r="J30" i="10"/>
  <c r="X15" i="10"/>
  <c r="Q295" i="7"/>
  <c r="R383" i="6"/>
  <c r="BB7" i="26" s="1"/>
  <c r="J27" i="10"/>
  <c r="J13" i="10"/>
  <c r="X20" i="10" l="1"/>
  <c r="J45" i="10" s="1"/>
  <c r="L45" i="10" s="1"/>
  <c r="GC7" i="26"/>
  <c r="GH7" i="26"/>
  <c r="L37" i="10"/>
  <c r="J10" i="10"/>
  <c r="J20" i="10" s="1"/>
  <c r="J44" i="10" s="1"/>
  <c r="L44" i="10" s="1"/>
  <c r="S263" i="5"/>
  <c r="BA7" i="26" s="1"/>
  <c r="Q300" i="7"/>
  <c r="HU7" i="26" s="1"/>
  <c r="R370" i="7" l="1"/>
  <c r="BC7" i="26" s="1"/>
  <c r="J33" i="10"/>
  <c r="J37" i="10" l="1"/>
  <c r="J46" i="10" s="1"/>
  <c r="L46" i="10" s="1"/>
  <c r="P42" i="10" s="1"/>
  <c r="M83" i="10" s="1"/>
  <c r="AZ7" i="2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Amadéus</author>
  </authors>
  <commentList>
    <comment ref="F2" authorId="0" shapeId="0" xr:uid="{00000000-0006-0000-0D00-000001000000}">
      <text>
        <r>
          <rPr>
            <b/>
            <sz val="10"/>
            <color indexed="81"/>
            <rFont val="Tahoma"/>
            <family val="2"/>
          </rPr>
          <t>Amadéus:</t>
        </r>
        <r>
          <rPr>
            <sz val="10"/>
            <color indexed="81"/>
            <rFont val="Tahoma"/>
            <family val="2"/>
          </rPr>
          <t xml:space="preserve">
les cellules vides ne seront pas en anomalie
- l'adresse ne contient qu'une fois le caractère @
- @ est le seul caractère spécial autorisé et il doit être
- précédé d'une chaîne de caractères alphanumériques en minuscules pouvant comporter 1,n point, tiret ou underscore
- suivi d'une chaîne de caractères alphanumériques en minuscules pouvant comporter 1,n tiret ou underscore et devant comporter un seul point précédant une chaîne d'au moins 2 caractères.
Il faudrait qu'apparaissent facilement les cellules en anomalie.
Dernière chose (Ouf !  ) : il faudrait que cela soit compatible avec Excel 2003.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<sst xmlns="http://schemas.openxmlformats.org/spreadsheetml/2006/main" count="8016" uniqueCount="3359">
  <si>
    <t>Listes pour menus déroulants</t>
  </si>
  <si>
    <t>EARL</t>
  </si>
  <si>
    <t>GAEC</t>
  </si>
  <si>
    <t>Groupement de fait</t>
  </si>
  <si>
    <t>Société civile (SCEA)</t>
  </si>
  <si>
    <t>Société commerciale ou coopérative (SA ou SARL)</t>
  </si>
  <si>
    <t xml:space="preserve">Autre personne morale </t>
  </si>
  <si>
    <t>Autre personne physique</t>
  </si>
  <si>
    <t>Société en participation (SEP)</t>
  </si>
  <si>
    <t>Régions</t>
  </si>
  <si>
    <t>Alsace</t>
  </si>
  <si>
    <t>Aquitaine</t>
  </si>
  <si>
    <t>Auvergne</t>
  </si>
  <si>
    <t>Basse-Normandie</t>
  </si>
  <si>
    <t>Bourgogne</t>
  </si>
  <si>
    <t>Bretagne</t>
  </si>
  <si>
    <t>Centre</t>
  </si>
  <si>
    <t>Champagne-Ardenne</t>
  </si>
  <si>
    <t>Corse</t>
  </si>
  <si>
    <t>Franche-Comté</t>
  </si>
  <si>
    <t>Haute-Normandie</t>
  </si>
  <si>
    <t>Ile-de-France</t>
  </si>
  <si>
    <t>Languedoc-Roussillon</t>
  </si>
  <si>
    <t>Limousin</t>
  </si>
  <si>
    <t>Lorraine</t>
  </si>
  <si>
    <t>Midi-Pyrénées</t>
  </si>
  <si>
    <t>Nord-Pas-de-Calais</t>
  </si>
  <si>
    <t>Pays de la Loire</t>
  </si>
  <si>
    <t>Picardie</t>
  </si>
  <si>
    <t>Poitou-Charentes</t>
  </si>
  <si>
    <t>Provence-Alpes-Côte d'Azur</t>
  </si>
  <si>
    <t>Rhône-Alpes</t>
  </si>
  <si>
    <t>Activité animale</t>
  </si>
  <si>
    <t>Horticulture</t>
  </si>
  <si>
    <t>Viticulture</t>
  </si>
  <si>
    <t>Autres végétaux</t>
  </si>
  <si>
    <t>Apiculture</t>
  </si>
  <si>
    <t>Bovins lait</t>
  </si>
  <si>
    <t>Bovins viande</t>
  </si>
  <si>
    <t>Caprins</t>
  </si>
  <si>
    <t>Équins</t>
  </si>
  <si>
    <t>Lapins</t>
  </si>
  <si>
    <t>Œufs</t>
  </si>
  <si>
    <t>Ovins</t>
  </si>
  <si>
    <t>Porcins</t>
  </si>
  <si>
    <t>Volailles</t>
  </si>
  <si>
    <t>Autres animaux</t>
  </si>
  <si>
    <t>Bassin viticole</t>
  </si>
  <si>
    <t>Bordelais</t>
  </si>
  <si>
    <t>Dordogne</t>
  </si>
  <si>
    <t>Lot-et-Garonne</t>
  </si>
  <si>
    <t>Beaujolais</t>
  </si>
  <si>
    <t>Bugey-Savoie</t>
  </si>
  <si>
    <t>Val de Loire</t>
  </si>
  <si>
    <t>Champagne</t>
  </si>
  <si>
    <t>Charentes</t>
  </si>
  <si>
    <t>Pyrénées-Orientales</t>
  </si>
  <si>
    <t>Cahors</t>
  </si>
  <si>
    <t>Gaillac</t>
  </si>
  <si>
    <t>Gers</t>
  </si>
  <si>
    <t>Bouches-du-Rhône</t>
  </si>
  <si>
    <t>Var-Vaucluse</t>
  </si>
  <si>
    <t>Cher</t>
  </si>
  <si>
    <t>Initial</t>
  </si>
  <si>
    <t>Suivi</t>
  </si>
  <si>
    <t>Renouvellement</t>
  </si>
  <si>
    <t>Oui</t>
  </si>
  <si>
    <t>3 - Restitution</t>
  </si>
  <si>
    <t>SAU : surface agricole utile</t>
  </si>
  <si>
    <t>SNE : surface agricole temporairement non exploitée</t>
  </si>
  <si>
    <t>Tas de fumier</t>
  </si>
  <si>
    <t>Peupleraie (plantation de peupliers en futaie)</t>
  </si>
  <si>
    <t>Production d’osier destiné à la vannerie</t>
  </si>
  <si>
    <t>Surface implantée d’ajoncs, brande à balai, genêts</t>
  </si>
  <si>
    <t>Sol nu (sans couvert végétal), hors cas des jachères noires</t>
  </si>
  <si>
    <t xml:space="preserve">Éléments suivants si aucun couvert n’est présent ou s’il n’est pas suffisamment couvrant : </t>
  </si>
  <si>
    <t>Surface initialement agricole mais utilisée temporairement pour une activité non agricole dont l’intensité, la nature ou la durée perturbe significativement l’activité agricole :</t>
  </si>
  <si>
    <t>Surfaces dont la vigne a été arrachée et non replantée, et qui ne font pas l’objet d’une demande d’aide à la restructuration et/ou à la reconversion du vignoble</t>
  </si>
  <si>
    <t>SNA : surface non agricole</t>
  </si>
  <si>
    <t>Éléments artificiels (route, chemin, bâtiment…)</t>
  </si>
  <si>
    <t>Autres éléments naturels qui ne sont pas des végétaux (mares, affleurements rocheux…)</t>
  </si>
  <si>
    <t>Marais salants</t>
  </si>
  <si>
    <t>Surface totale de l’exploitation</t>
  </si>
  <si>
    <t>Chemins de rampe frontale ou de pivot pour l’irrigation</t>
  </si>
  <si>
    <t>Passages d’enrouleurs pour l’irrigation et leurs bandes de service</t>
  </si>
  <si>
    <t>Bandes de séparation des cultures de production de semences</t>
  </si>
  <si>
    <t>Bandes de séparation des cultures de maraîchage ou allées</t>
  </si>
  <si>
    <t>Espaces entre deux serres</t>
  </si>
  <si>
    <t>Surface où sont implantés des panneaux photovoltaïques</t>
  </si>
  <si>
    <t>Surface où sont effectués des travaux ou une construction</t>
  </si>
  <si>
    <t>Surface où sont effectuées des fouilles archéologiques</t>
  </si>
  <si>
    <t>N</t>
  </si>
  <si>
    <t>N-1</t>
  </si>
  <si>
    <t>N-2</t>
  </si>
  <si>
    <t>Zone de stockage non artificialisée ou silos (pour betteraves par exemple)</t>
  </si>
  <si>
    <t xml:space="preserve"> Zone dont la végétation et les autres éléments naturels non agricoles de type rochers, pierriers ou autre apparaissent homogènes en photo-interprétation</t>
  </si>
  <si>
    <r>
      <t>Zones de densité homogène</t>
    </r>
    <r>
      <rPr>
        <b/>
        <sz val="11"/>
        <color rgb="FFFF0000"/>
        <rFont val="Calibri"/>
        <family val="2"/>
      </rPr>
      <t>*</t>
    </r>
  </si>
  <si>
    <t>Céréales</t>
  </si>
  <si>
    <t>Blé tendre</t>
  </si>
  <si>
    <t>Blé dur</t>
  </si>
  <si>
    <t>Maïs</t>
  </si>
  <si>
    <t>Orge</t>
  </si>
  <si>
    <t>Triticale</t>
  </si>
  <si>
    <t>Autres céréales</t>
  </si>
  <si>
    <t>Oléagineux</t>
  </si>
  <si>
    <t>Colza et navette</t>
  </si>
  <si>
    <t>Tournesol</t>
  </si>
  <si>
    <t>Soja</t>
  </si>
  <si>
    <t>Autres oléagineux (chanvre oléagineux, lin non textile, œillette, etc.)</t>
  </si>
  <si>
    <t>Protéagineux et légumineuses à grain</t>
  </si>
  <si>
    <t>Pois protéagineux</t>
  </si>
  <si>
    <t>Autres protéagineux (fève, féverole, lupin doux, etc.)</t>
  </si>
  <si>
    <t>Légumes secs / légumineuses à grain (lentilles, pois chiches, vesces)</t>
  </si>
  <si>
    <t>Mélanges de cultures contenant des légumineuses, protéagineux ou légumes secs</t>
  </si>
  <si>
    <t>Chanvre et lin</t>
  </si>
  <si>
    <t>Déshydratation</t>
  </si>
  <si>
    <t>Maïs fourrage et ensilage</t>
  </si>
  <si>
    <t>Autres fourrages annuels, plantes sarclées fourragères</t>
  </si>
  <si>
    <t xml:space="preserve">Surfaces en herbe </t>
  </si>
  <si>
    <t>Betteraves industrielles</t>
  </si>
  <si>
    <t>Pommes de terre</t>
  </si>
  <si>
    <t>Cultures hors sol</t>
  </si>
  <si>
    <t>Vignes</t>
  </si>
  <si>
    <t>Autres cultures permanentes</t>
  </si>
  <si>
    <t xml:space="preserve">NB : Conformément au plan de contrôle, dans l’ensemble de cet outil Excel, on définit : 
-          les prairies permanentes (PP) comme l’ensemble des prairies naturelles, des prairies temporaires de plus de cinq ans et des landes, parcours, alpages et estives individuels (les landes, parcours, alpages et estives collectifs ne sont pas comptabilisés dans la SAU) ;
-          les prairies temporaires (PT) comme les prairies temporaires de 5 ans et moins. </t>
  </si>
  <si>
    <t>Vergers :</t>
  </si>
  <si>
    <t>Label_culture</t>
  </si>
  <si>
    <t>Abricotier</t>
  </si>
  <si>
    <t>Airelle</t>
  </si>
  <si>
    <t>Amandier</t>
  </si>
  <si>
    <t>Azerolier</t>
  </si>
  <si>
    <t>Cassissier</t>
  </si>
  <si>
    <t>Cerisier</t>
  </si>
  <si>
    <t>Chataignier</t>
  </si>
  <si>
    <t>Citronnier</t>
  </si>
  <si>
    <t>Clémentinier</t>
  </si>
  <si>
    <t>Cognassier</t>
  </si>
  <si>
    <t>Cynhorodon</t>
  </si>
  <si>
    <t>Figuier</t>
  </si>
  <si>
    <t>Framboisier</t>
  </si>
  <si>
    <t>Groseillier</t>
  </si>
  <si>
    <t>Jujubier</t>
  </si>
  <si>
    <t>Kiwi</t>
  </si>
  <si>
    <t>Limettes</t>
  </si>
  <si>
    <t>Mandarinier</t>
  </si>
  <si>
    <t>Mirabellier</t>
  </si>
  <si>
    <t>Mûre morus sp</t>
  </si>
  <si>
    <t>Mûres rubus sp</t>
  </si>
  <si>
    <t>Mûres des haies</t>
  </si>
  <si>
    <t>Myrtillier</t>
  </si>
  <si>
    <t>Nashi</t>
  </si>
  <si>
    <t>Nectarinier</t>
  </si>
  <si>
    <t>Néflier</t>
  </si>
  <si>
    <t>Noisetier</t>
  </si>
  <si>
    <t>Noyer</t>
  </si>
  <si>
    <t>Olivier</t>
  </si>
  <si>
    <t>Oranger</t>
  </si>
  <si>
    <t>Pamplemoussier</t>
  </si>
  <si>
    <t>Pêcher</t>
  </si>
  <si>
    <t>Poirier</t>
  </si>
  <si>
    <t>Pommette</t>
  </si>
  <si>
    <t>Pommier</t>
  </si>
  <si>
    <t>Prunier</t>
  </si>
  <si>
    <t>Sureau noir</t>
  </si>
  <si>
    <t>Kaki</t>
  </si>
  <si>
    <t>Grenadier</t>
  </si>
  <si>
    <t>Pistachier</t>
  </si>
  <si>
    <t>Kiwai</t>
  </si>
  <si>
    <t>Prunier du Japon</t>
  </si>
  <si>
    <t>Ananas</t>
  </si>
  <si>
    <t>Autres</t>
  </si>
  <si>
    <t>Bananier</t>
  </si>
  <si>
    <t>Barbadines</t>
  </si>
  <si>
    <t>Carambole</t>
  </si>
  <si>
    <t>Cherimole</t>
  </si>
  <si>
    <t>Corossol</t>
  </si>
  <si>
    <t>Fruit de l'arbre à pain</t>
  </si>
  <si>
    <t>Fruit de la passion</t>
  </si>
  <si>
    <t>Goyavier</t>
  </si>
  <si>
    <t>Grenadilles</t>
  </si>
  <si>
    <t>Litchi</t>
  </si>
  <si>
    <t>Longanis</t>
  </si>
  <si>
    <t>Manguier</t>
  </si>
  <si>
    <t>Papayer</t>
  </si>
  <si>
    <t>Avocatier</t>
  </si>
  <si>
    <t>Choix 1</t>
  </si>
  <si>
    <t>Choix 2</t>
  </si>
  <si>
    <t>Choix 3</t>
  </si>
  <si>
    <t>Choix 4</t>
  </si>
  <si>
    <t>Choix 5</t>
  </si>
  <si>
    <t>Choix 6</t>
  </si>
  <si>
    <t>Choix 7</t>
  </si>
  <si>
    <t>Choix 8</t>
  </si>
  <si>
    <t>Choix 9</t>
  </si>
  <si>
    <t>Choix 10</t>
  </si>
  <si>
    <t>Choix 11</t>
  </si>
  <si>
    <t>Choix 12</t>
  </si>
  <si>
    <t>Choix 13</t>
  </si>
  <si>
    <t>Choix 14</t>
  </si>
  <si>
    <t>Choix 15</t>
  </si>
  <si>
    <t>Élément</t>
  </si>
  <si>
    <t>CO*</t>
  </si>
  <si>
    <t>CP*</t>
  </si>
  <si>
    <t>Unité</t>
  </si>
  <si>
    <t>Coefficient en m²</t>
  </si>
  <si>
    <t>Haie</t>
  </si>
  <si>
    <t>x</t>
  </si>
  <si>
    <t>m linéaire</t>
  </si>
  <si>
    <t>Alignement d’arbres</t>
  </si>
  <si>
    <t>Arbre isolé</t>
  </si>
  <si>
    <t>arbre</t>
  </si>
  <si>
    <t>Bosquets</t>
  </si>
  <si>
    <t>Mare</t>
  </si>
  <si>
    <t>Fossé non maçonné</t>
  </si>
  <si>
    <t>Mur traditionnel en pierres</t>
  </si>
  <si>
    <t>Bordures non productives</t>
  </si>
  <si>
    <t>Bordures non productives complément*</t>
  </si>
  <si>
    <t>Jachère</t>
  </si>
  <si>
    <t>Jachère mellifère</t>
  </si>
  <si>
    <t>Zones humides</t>
  </si>
  <si>
    <t>Verger haute-tige =  pré-verger</t>
  </si>
  <si>
    <t>Bandes enherbées intra-parcellaires</t>
  </si>
  <si>
    <t>Prairies permanentes, landes, parcours, alpages, estives situés en zone Natura 2000</t>
  </si>
  <si>
    <t>Zones herbacées mises en défens et retirées de la production</t>
  </si>
  <si>
    <t>« Autres milieux »</t>
  </si>
  <si>
    <t>Tableau de points du critère points</t>
  </si>
  <si>
    <t>Valeur de l’item (I) : % de la surface de l’exploitation en infrastructure agro-écologique</t>
  </si>
  <si>
    <t>Nombre de points</t>
  </si>
  <si>
    <t>0 % ≤ I &lt; 4 %</t>
  </si>
  <si>
    <t>4 % ≤ I &lt; 5 %</t>
  </si>
  <si>
    <t>5 % ≤ I &lt; 6 %</t>
  </si>
  <si>
    <t>6 % ≤ I &lt; 7 %</t>
  </si>
  <si>
    <t>7 % ≤ I &lt; 8 %</t>
  </si>
  <si>
    <t>8 % ≤ I &lt; 9 %</t>
  </si>
  <si>
    <t>9 % ≤ I &lt; 10 %</t>
  </si>
  <si>
    <t>10 % ≤ I</t>
  </si>
  <si>
    <t>Socle de l'item (en %)</t>
  </si>
  <si>
    <t>ID Element</t>
  </si>
  <si>
    <t>Famille</t>
  </si>
  <si>
    <t>ID</t>
  </si>
  <si>
    <t>ligneux</t>
  </si>
  <si>
    <t>aquatique</t>
  </si>
  <si>
    <t>rocheux</t>
  </si>
  <si>
    <t>herbager</t>
  </si>
  <si>
    <t>à masquer</t>
  </si>
  <si>
    <t>Min</t>
  </si>
  <si>
    <t>Max</t>
  </si>
  <si>
    <t>Ratio</t>
  </si>
  <si>
    <t>en hectares</t>
  </si>
  <si>
    <t>Surface de la culture principale</t>
  </si>
  <si>
    <t>Surface culture principale</t>
  </si>
  <si>
    <t>Cultures fourragères annuelles</t>
  </si>
  <si>
    <t>Autres cultures arables</t>
  </si>
  <si>
    <t>Nb</t>
  </si>
  <si>
    <t>Prairies temporaires de 5 ans et moins (PT)</t>
  </si>
  <si>
    <t>Nombre d'espèces semées pures</t>
  </si>
  <si>
    <t>Surfaces semées en mélange de légumineuses</t>
  </si>
  <si>
    <t>Surfaces semées en mélange de graminées</t>
  </si>
  <si>
    <t>Surfaces semées en mélange complexe de légumineuses ET graminées</t>
  </si>
  <si>
    <t>Part des PP dans la SAU</t>
  </si>
  <si>
    <t>Prairies permanentes (PP)</t>
  </si>
  <si>
    <t>Autres cultures</t>
  </si>
  <si>
    <t>Légumes et fruits hors arboriculture</t>
  </si>
  <si>
    <t>Fleurs</t>
  </si>
  <si>
    <t>Arboriculture et autres cultures permanentes</t>
  </si>
  <si>
    <t>Cultures arables</t>
  </si>
  <si>
    <t>Total</t>
  </si>
  <si>
    <t>Nombre d'espèces bovines</t>
  </si>
  <si>
    <t>Nombre d'espèces porcines</t>
  </si>
  <si>
    <t>Nombre d'espèces ovines</t>
  </si>
  <si>
    <t>Nombre d'espèces caprines</t>
  </si>
  <si>
    <t>Nombre d'espèces de volailles</t>
  </si>
  <si>
    <t>Total espèces</t>
  </si>
  <si>
    <t>Autres espèces élevées</t>
  </si>
  <si>
    <t>Nombre de ruches</t>
  </si>
  <si>
    <t>Nb de points</t>
  </si>
  <si>
    <t>Taille des parcelles</t>
  </si>
  <si>
    <t>Poids de la culture principale</t>
  </si>
  <si>
    <t>Nombre d'espèces végétales cultivées</t>
  </si>
  <si>
    <t>Nombre d'espèces animales élevées</t>
  </si>
  <si>
    <t>Total ruches</t>
  </si>
  <si>
    <t>Région</t>
  </si>
  <si>
    <t>Herbicides – plancher</t>
  </si>
  <si>
    <t>Hors herbicides – plancher</t>
  </si>
  <si>
    <t>Guadeloupe</t>
  </si>
  <si>
    <t>Guyane</t>
  </si>
  <si>
    <t>Martinique</t>
  </si>
  <si>
    <t>Valeurs notation HVE Herbicides</t>
  </si>
  <si>
    <t>Valeurs notation HVE Hors Herbicides</t>
  </si>
  <si>
    <t>Plancher</t>
  </si>
  <si>
    <t>Plafond</t>
  </si>
  <si>
    <t>France entière</t>
  </si>
  <si>
    <t>Île-de-France</t>
  </si>
  <si>
    <t>Si oui, existe-t-il une dérogation exceptionnelle ?</t>
  </si>
  <si>
    <t>Total SAU</t>
  </si>
  <si>
    <t>Références à utiliser pour calculer les points</t>
  </si>
  <si>
    <t xml:space="preserve">IFT - hors herbicides </t>
  </si>
  <si>
    <t xml:space="preserve">IFT - herbicides </t>
  </si>
  <si>
    <t>Critère obligatoire</t>
  </si>
  <si>
    <t>IFT - herbicides</t>
  </si>
  <si>
    <t>IFT hors herbicides</t>
  </si>
  <si>
    <t>IFT réalisé sur l'exploitation</t>
  </si>
  <si>
    <t>Vigne</t>
  </si>
  <si>
    <t>IFT</t>
  </si>
  <si>
    <t>Arboriculture</t>
  </si>
  <si>
    <t>Non</t>
  </si>
  <si>
    <t>Outil de diagnostic précoce</t>
  </si>
  <si>
    <t>Campagne collective</t>
  </si>
  <si>
    <t>On tient compte ici des méthodes de :</t>
  </si>
  <si>
    <t>- lutte physique : travail du sol (faux semis), désherbage mécanique ou thermique, utilisation de filets…</t>
  </si>
  <si>
    <t>Surface sur laquelle est utilisée au moins une méthode alternative</t>
  </si>
  <si>
    <t>Nombre de clones</t>
  </si>
  <si>
    <t>Arboriculture et autres cultures pérennes</t>
  </si>
  <si>
    <t xml:space="preserve">Nombre total d'espèces </t>
  </si>
  <si>
    <t>Nombre d'espèces avec 2 variétés cultivées</t>
  </si>
  <si>
    <t>Nombre d'espèces avec au moins 3 variétés cultivées</t>
  </si>
  <si>
    <t>Total surface vignes</t>
  </si>
  <si>
    <t>Total surface arboriculture et autres cultures pérennes</t>
  </si>
  <si>
    <t>m3</t>
  </si>
  <si>
    <t>Volume annuel d'eau recyclé et traité avant tout rejet dans le milieu</t>
  </si>
  <si>
    <t>Surfaces non traitées</t>
  </si>
  <si>
    <t>Surveillance active des parcelles</t>
  </si>
  <si>
    <t>Diversité spécifique et variétale</t>
  </si>
  <si>
    <t>Recyclage et traitement des eaux d'irrigation</t>
  </si>
  <si>
    <t>Balance globale azotée (BGA)</t>
  </si>
  <si>
    <t>Bilan apparent</t>
  </si>
  <si>
    <t>en kg N/ha</t>
  </si>
  <si>
    <t>Cultures "principales"</t>
  </si>
  <si>
    <t>Grandes cultures</t>
  </si>
  <si>
    <t>Utilisation d'un outil ODP (outil de pilotage)</t>
  </si>
  <si>
    <t>Surface concernée</t>
  </si>
  <si>
    <t>Vigne, arboriculture, maraîchage</t>
  </si>
  <si>
    <t>Cultures "mineures"</t>
  </si>
  <si>
    <t>Prairies permanentes non fertilisées</t>
  </si>
  <si>
    <t>Part non fertilisée de la SAU</t>
  </si>
  <si>
    <t>surface en Ha</t>
  </si>
  <si>
    <t xml:space="preserve">Part de la surface concernée </t>
  </si>
  <si>
    <t>Système de recyclage partiel des cultures hors sol</t>
  </si>
  <si>
    <t>en m3</t>
  </si>
  <si>
    <t>Part de l'azote organique apporté</t>
  </si>
  <si>
    <t>Utilisation d'OAD</t>
  </si>
  <si>
    <t>Pourcentage de la SAU non fertilisée</t>
  </si>
  <si>
    <t>Part des légumineuses dans la SAU</t>
  </si>
  <si>
    <t>Couverture des sols</t>
  </si>
  <si>
    <t>Volume total d'eau prélevé</t>
  </si>
  <si>
    <t>hors période d'étiage</t>
  </si>
  <si>
    <t>Présence d'un cahier d'enregistrement des pratiques d'irrigation</t>
  </si>
  <si>
    <t>Nombre de parcelles irriguées</t>
  </si>
  <si>
    <t>Nombre total d'apports d'eau sur les parcelles irriguées</t>
  </si>
  <si>
    <t>Nombre de données à enregistrer</t>
  </si>
  <si>
    <t>Données à enregistrer concernant l'apport</t>
  </si>
  <si>
    <t>Date et période (étiage ou hors étiage) de l'apport</t>
  </si>
  <si>
    <t>Estimation du volume de l'apport</t>
  </si>
  <si>
    <t>Surface irriguée</t>
  </si>
  <si>
    <t>Mode d'irrigation (gravité, aspersion, micro-irrigation)</t>
  </si>
  <si>
    <t>Matériel utilisé</t>
  </si>
  <si>
    <t>Origine de l'eau (retenue collinaire, forage, rivière…)</t>
  </si>
  <si>
    <t>Facteur déclenchant l'irrigation (analyses, données météo…)</t>
  </si>
  <si>
    <t>Données à enregistrer concernant la parcelle</t>
  </si>
  <si>
    <t>Culture irriguée</t>
  </si>
  <si>
    <t>Variété irriguée (résistante ou non à la sécheresse)</t>
  </si>
  <si>
    <t>Date de semis</t>
  </si>
  <si>
    <t>Autres pratiques réduisant les besoins en eau</t>
  </si>
  <si>
    <t>Rendement de la parcelle</t>
  </si>
  <si>
    <t>Nombre total de données manquantes</t>
  </si>
  <si>
    <t>Nombre de données manquantes</t>
  </si>
  <si>
    <t>Nombre d'outils avec pour objectif : évaluation de l'offre</t>
  </si>
  <si>
    <t>Nombre d'outils avec pour objectif : évaluation de la demande de la plante</t>
  </si>
  <si>
    <t>Nombre d'outils avec pour objectif : mixte</t>
  </si>
  <si>
    <t>Part de la surface équipée</t>
  </si>
  <si>
    <t>Adhésion à une démarche collective</t>
  </si>
  <si>
    <t>Surface de la SAU irriguée avec des pratiques économisant l'eau</t>
  </si>
  <si>
    <t>Part de la surface irriguée concernée</t>
  </si>
  <si>
    <t>Volume total d'eau</t>
  </si>
  <si>
    <t>Part des prélèvements en période d'étiage</t>
  </si>
  <si>
    <t>en période d'étiage (juin, juillet, août)</t>
  </si>
  <si>
    <t>Mise en place d'un dispositif de récupération des eaux de pluie à partir des surfaces hors sol</t>
  </si>
  <si>
    <t>Pratiques agronomiques mises en œuvre pour économiser l'eau</t>
  </si>
  <si>
    <t>Récupération des eaux de pluie</t>
  </si>
  <si>
    <t>Surface totale de l'exploitation</t>
  </si>
  <si>
    <t xml:space="preserve"> </t>
  </si>
  <si>
    <t>Nombre de matériels utilisés</t>
  </si>
  <si>
    <t>Surface totale des PP</t>
  </si>
  <si>
    <t>Ancien plafond</t>
  </si>
  <si>
    <t>Part des surfaces concernées par rapport à la SAU</t>
  </si>
  <si>
    <t>Plantes en pot</t>
  </si>
  <si>
    <t>Autres Arbres et arbustes</t>
  </si>
  <si>
    <t>Autres fleurs coupées</t>
  </si>
  <si>
    <t>Autres cultures couvertes</t>
  </si>
  <si>
    <t>Substances actives (kg sa/ha/an)</t>
  </si>
  <si>
    <t>Azote (kg N/ha/an)</t>
  </si>
  <si>
    <t>Plantes à massif; Plantes vivaces, Plants potagers</t>
  </si>
  <si>
    <t>Arbres et arbustes (acidophiles, croissance  lente)</t>
  </si>
  <si>
    <t>Plantes méditérranéennes</t>
  </si>
  <si>
    <t>Fleurs coupées d'été</t>
  </si>
  <si>
    <t>Production couverte</t>
  </si>
  <si>
    <t>Productions</t>
  </si>
  <si>
    <t>Plantes vivaces en pot</t>
  </si>
  <si>
    <t>Plantes vivaces pleine terre</t>
  </si>
  <si>
    <t>Chrysanthème en pot</t>
  </si>
  <si>
    <t>Production extérieures</t>
  </si>
  <si>
    <t>Arbres et arbustes (acidophiles, croissance  lente) en pot</t>
  </si>
  <si>
    <t>Plantes méditérranéennes en pot</t>
  </si>
  <si>
    <t>Arbres, pleine terre</t>
  </si>
  <si>
    <t>Arbres fruitiers, pleine terre</t>
  </si>
  <si>
    <t>Rosier pleine terre</t>
  </si>
  <si>
    <t>Fleurs d'été pleine terre</t>
  </si>
  <si>
    <t>Bulbes pleine terre</t>
  </si>
  <si>
    <t>Autres cultures non couvertes</t>
  </si>
  <si>
    <t>surface totale en cultures annuelles</t>
  </si>
  <si>
    <t>Prorata concerné</t>
  </si>
  <si>
    <t>surface totale en cultures pérennes</t>
  </si>
  <si>
    <t>Total points retenus</t>
  </si>
  <si>
    <t>Gestion de la temporalité des référentiels</t>
  </si>
  <si>
    <t>Date mise à jour référentiels</t>
  </si>
  <si>
    <t>Campagne culturale limite</t>
  </si>
  <si>
    <t>Grandes cultures et PdT</t>
  </si>
  <si>
    <t>Total des points retenus</t>
  </si>
  <si>
    <t>surfaces en Ha</t>
  </si>
  <si>
    <t>L'exploitation est-elle concernée par ce critère obligatoire ?</t>
  </si>
  <si>
    <t>surface en prairies temporaires et/ou en jachère et/ou en légumineuses supérieure à 75 % des terres arables de l’exploitation</t>
  </si>
  <si>
    <t>surface en herbe (prairies permanentes et/ou temporaires) et/ou en riz supérieure à 75 % de la SAU de l’exploitation</t>
  </si>
  <si>
    <t>Calcul des points</t>
  </si>
  <si>
    <t>Exploitations bovines spécialisées – orientation lait</t>
  </si>
  <si>
    <t>Exploitations bovines spécialisées – orientation viande</t>
  </si>
  <si>
    <t>Exploitations bovines – lait, élevage et viande combinés</t>
  </si>
  <si>
    <t>Exploitations ovines spécialisées</t>
  </si>
  <si>
    <t>Exploitations avec ovins et bovins combinés</t>
  </si>
  <si>
    <t>Exploitations caprines spécialisées</t>
  </si>
  <si>
    <t>Exploitations d’équidés et/ou autres herbivores</t>
  </si>
  <si>
    <t>Exploitations mixtes combinant bovins laitiers avec grandes cultures</t>
  </si>
  <si>
    <t>Exploitations mixtes combinant grandes cultures avec herbivores non laitiers</t>
  </si>
  <si>
    <t>Exploitations mixtes combinant herbivores non laitiers avec grandes cultures</t>
  </si>
  <si>
    <t>Exploitations mixtes avec cultures permanentes et herbivores</t>
  </si>
  <si>
    <t>Code OTEX</t>
  </si>
  <si>
    <t>Description OTEX</t>
  </si>
  <si>
    <t>Méthode de calcul Balance Globale Azotée (BGA)</t>
  </si>
  <si>
    <t>Entrées</t>
  </si>
  <si>
    <t>Sorties</t>
  </si>
  <si>
    <t>Balance globale de fertilisation après engrais minéraux</t>
  </si>
  <si>
    <t>Méthode de calcul Bilan apparent</t>
  </si>
  <si>
    <t>Solde balance globale de fertilisation avant engrais minéraux</t>
  </si>
  <si>
    <t>Présence d'une OTEX concernée</t>
  </si>
  <si>
    <t>Méthode de calcul retenue par l'exploitant</t>
  </si>
  <si>
    <t>Surface de la SAU</t>
  </si>
  <si>
    <t>Part des cultures mineures dans la SAU</t>
  </si>
  <si>
    <t xml:space="preserve">Correction nombre de points ? </t>
  </si>
  <si>
    <t>Total nombre de points retenus</t>
  </si>
  <si>
    <t>Total surface de blé</t>
  </si>
  <si>
    <t>Max de points</t>
  </si>
  <si>
    <t>Utilisation d'un outil de diagnostic précoce pour la gestion des ravageurs et des maladies des plantes ou d'un outil de modélisation du risque</t>
  </si>
  <si>
    <t>Surface en prairies permanentes</t>
  </si>
  <si>
    <t>AIN</t>
  </si>
  <si>
    <t>AISNE</t>
  </si>
  <si>
    <t>ALLIER</t>
  </si>
  <si>
    <t>ALPES-DE-HAUTE-PROVENCE</t>
  </si>
  <si>
    <t>HAUTES-ALPES</t>
  </si>
  <si>
    <t>ALPES-MARITIME</t>
  </si>
  <si>
    <t>ARDECHE</t>
  </si>
  <si>
    <t>ARDENNES</t>
  </si>
  <si>
    <t>ARIEGE</t>
  </si>
  <si>
    <t>AUBE</t>
  </si>
  <si>
    <t>AUDE</t>
  </si>
  <si>
    <t>AVEYRON</t>
  </si>
  <si>
    <t>BOUCHES-DU-RHONE</t>
  </si>
  <si>
    <t>CALVADOS</t>
  </si>
  <si>
    <t>CANTAL</t>
  </si>
  <si>
    <t>CHARENTE</t>
  </si>
  <si>
    <t>CHARENTE-MARITIME</t>
  </si>
  <si>
    <t>CHER</t>
  </si>
  <si>
    <t>CORREZE</t>
  </si>
  <si>
    <t>CORSE-DU-SUD</t>
  </si>
  <si>
    <t>HAUTE-CORSE</t>
  </si>
  <si>
    <t>COTE-D'OR</t>
  </si>
  <si>
    <t>COTES D'ARMOR</t>
  </si>
  <si>
    <t>CREUSE</t>
  </si>
  <si>
    <t>DORDOGNE</t>
  </si>
  <si>
    <t>DOUBS</t>
  </si>
  <si>
    <t>DROME</t>
  </si>
  <si>
    <t>EURE</t>
  </si>
  <si>
    <t>EURE-ET-LOIR</t>
  </si>
  <si>
    <t>FINISTERE</t>
  </si>
  <si>
    <t>GARD</t>
  </si>
  <si>
    <t>GERS</t>
  </si>
  <si>
    <t>GIRONDE</t>
  </si>
  <si>
    <t>HERAULT</t>
  </si>
  <si>
    <t>ILLE-ET-VILAINE</t>
  </si>
  <si>
    <t>INDRE</t>
  </si>
  <si>
    <t>INDRE-ET-LOIRE</t>
  </si>
  <si>
    <t>ISERE</t>
  </si>
  <si>
    <t>JURA</t>
  </si>
  <si>
    <t>LANDES</t>
  </si>
  <si>
    <t>LOIR-ET-CHER</t>
  </si>
  <si>
    <t>LOIRE</t>
  </si>
  <si>
    <t>HAUTE-LOIRE</t>
  </si>
  <si>
    <t>LOIRE-ATLANTIQUE</t>
  </si>
  <si>
    <t>LOIRET</t>
  </si>
  <si>
    <t>LOT</t>
  </si>
  <si>
    <t>LOT-ET-GARONNE</t>
  </si>
  <si>
    <t>LOZERE</t>
  </si>
  <si>
    <t>MAINE-ET-LOIRE</t>
  </si>
  <si>
    <t>MANCHE</t>
  </si>
  <si>
    <t>MARNE</t>
  </si>
  <si>
    <t>HAUTE-MARNE</t>
  </si>
  <si>
    <t>MAYENNE</t>
  </si>
  <si>
    <t>MEURTHE-ET-MOSELLE</t>
  </si>
  <si>
    <t>MEUSE</t>
  </si>
  <si>
    <t>MORBIHAN</t>
  </si>
  <si>
    <t>MOSELLE</t>
  </si>
  <si>
    <t>NIEVRE</t>
  </si>
  <si>
    <t>NORD</t>
  </si>
  <si>
    <t>OISE</t>
  </si>
  <si>
    <t>ORNE</t>
  </si>
  <si>
    <t>PAS-DE-CALAIS</t>
  </si>
  <si>
    <t>PUY-DE-DOME</t>
  </si>
  <si>
    <t>PYRENEES-ATLANTIQUES</t>
  </si>
  <si>
    <t>HAUTES-PYRENEES</t>
  </si>
  <si>
    <t>PYRENNEES-ORIENTALES</t>
  </si>
  <si>
    <t>BAS-RHIN</t>
  </si>
  <si>
    <t>HAUT-RHIN</t>
  </si>
  <si>
    <t>RHONE</t>
  </si>
  <si>
    <t>HAUTE-SAONE</t>
  </si>
  <si>
    <t>SAONE-ET-LOIRE</t>
  </si>
  <si>
    <t>SARTHE</t>
  </si>
  <si>
    <t>SAVOIE</t>
  </si>
  <si>
    <t>HAUTE-SAVOIE</t>
  </si>
  <si>
    <t>PARIS</t>
  </si>
  <si>
    <t>SEINE-MARITIME</t>
  </si>
  <si>
    <t>SEINE-ET-MARNE</t>
  </si>
  <si>
    <t>YVELINES</t>
  </si>
  <si>
    <t>DEUX-SEVRES</t>
  </si>
  <si>
    <t>SOMME</t>
  </si>
  <si>
    <t>TARN</t>
  </si>
  <si>
    <t>TARN-ET-GARONNE</t>
  </si>
  <si>
    <t>VAR</t>
  </si>
  <si>
    <t>VAUCLUSE</t>
  </si>
  <si>
    <t>VENDEE</t>
  </si>
  <si>
    <t>VIENNE</t>
  </si>
  <si>
    <t>HAUTE-VIENNE</t>
  </si>
  <si>
    <t>VOSGES</t>
  </si>
  <si>
    <t>YONNE</t>
  </si>
  <si>
    <t>TERRITOIRE DE BELFORT</t>
  </si>
  <si>
    <t>ESSONE</t>
  </si>
  <si>
    <t>HAUTS-DE-SEINE</t>
  </si>
  <si>
    <t>SEINE-SAINT-DENIS</t>
  </si>
  <si>
    <t>VAL-DE-MARNE</t>
  </si>
  <si>
    <t>VAL-D'OISE</t>
  </si>
  <si>
    <t>GUADELOUPE</t>
  </si>
  <si>
    <t>MARTINIQUE</t>
  </si>
  <si>
    <t>GUYANE</t>
  </si>
  <si>
    <t>LA REUNION</t>
  </si>
  <si>
    <t>Département</t>
  </si>
  <si>
    <t>Total en nombre d'espèces</t>
  </si>
  <si>
    <t>1 - Saisie préalable</t>
  </si>
  <si>
    <t>2 - Calculs des indicateurs</t>
  </si>
  <si>
    <t>Autre démarche 3</t>
  </si>
  <si>
    <t>Fruits</t>
  </si>
  <si>
    <t>Légumes</t>
  </si>
  <si>
    <t>Autre(s) démarche(s) qualité (SIQO, CCP, mention valorisante) dans laquelle/lesquelles l'exploitation est engagée :</t>
  </si>
  <si>
    <t>Riz</t>
  </si>
  <si>
    <t>Fourrages (hors légumineuses fourragères qui sont comptées dans les prairies temporaires en légumineuse pure ou en mélange de légumineuses)</t>
  </si>
  <si>
    <t>PT (prairies temporaires)  : légumineuse pure (luzerne, trèfle…)</t>
  </si>
  <si>
    <t>PT (prairies temporaires)  : mélange de légumineuses</t>
  </si>
  <si>
    <t>PT (prairies temporaires)  : graminée pure</t>
  </si>
  <si>
    <t>PT (prairies temporaires)  : mélange de graminées</t>
  </si>
  <si>
    <t>PT (prairies temporaires)  : mélange complexe graminées et légumineuses</t>
  </si>
  <si>
    <t>PP (prairies permanentes) non fertilisées (hors déjections animaux pâturant) et non traitées</t>
  </si>
  <si>
    <t>PP (prairies permanentes) fertilisées mais non traitées</t>
  </si>
  <si>
    <t>INDICATEUR BIODIVERSITE</t>
  </si>
  <si>
    <t>« Autres milieux » surfaciques</t>
  </si>
  <si>
    <t>Terres arables de l'exploitation</t>
  </si>
  <si>
    <t>Nom de la culture principale (hors prairies permanentes)</t>
  </si>
  <si>
    <t>SAU exploitation (hors prairies permanentes)</t>
  </si>
  <si>
    <t>Nb d'espèces / équivalent nb d'espèces</t>
  </si>
  <si>
    <t>Nb total d'espèces</t>
  </si>
  <si>
    <t>Poids de la culture principale en % de la SAU</t>
  </si>
  <si>
    <t>Option(s) choisie(s) par l'agriculteur</t>
  </si>
  <si>
    <t>INDICATEUR STRATEGIE PHYTOSANITAIRE</t>
  </si>
  <si>
    <t>Surface totale non traitée</t>
  </si>
  <si>
    <t>Part de la SAU non traitée</t>
  </si>
  <si>
    <t>Plancher pondéré</t>
  </si>
  <si>
    <t>Plafond pondéré</t>
  </si>
  <si>
    <t>des surfaces en cultures annuelles</t>
  </si>
  <si>
    <t>surface concernée en cultures annuelles</t>
  </si>
  <si>
    <t>des surfaces en cultures pérennes</t>
  </si>
  <si>
    <t>surface concernée en cultures pérennes</t>
  </si>
  <si>
    <t>Dispositif de collecte de données</t>
  </si>
  <si>
    <t>Part de la SAU concernée par la pratique</t>
  </si>
  <si>
    <t>- lutte biologique : méthodes utilisant les produits de biocontrôle tels que définis dans l’article L253-6 du Code rural et de la pêche maritime</t>
  </si>
  <si>
    <t>Part de la surface concernée vignes</t>
  </si>
  <si>
    <r>
      <t xml:space="preserve">Surfaces concernées par un système de recyclage et de traitement </t>
    </r>
    <r>
      <rPr>
        <b/>
        <sz val="11"/>
        <color theme="1"/>
        <rFont val="Calibri"/>
        <family val="2"/>
      </rPr>
      <t>total</t>
    </r>
  </si>
  <si>
    <r>
      <t xml:space="preserve">Surfaces concernées par un système de recyclage et de traitement </t>
    </r>
    <r>
      <rPr>
        <b/>
        <sz val="11"/>
        <color theme="1"/>
        <rFont val="Calibri"/>
        <family val="2"/>
      </rPr>
      <t>partiel</t>
    </r>
  </si>
  <si>
    <t>INDICATEUR FERTILISATION</t>
  </si>
  <si>
    <t xml:space="preserve">Utilisation d’un outil PPF (plan prévisionnel de fertilisation) </t>
  </si>
  <si>
    <t>Utilisation d’un outil PPF Aj (ajustement du PPF)</t>
  </si>
  <si>
    <t>Utilisation d'un outil OPI (outil de pilotage intégral) pour le blé</t>
  </si>
  <si>
    <t>Part de la surface concernée par ODP</t>
  </si>
  <si>
    <t>Part de la surface concernée par OPI (pour le blé)</t>
  </si>
  <si>
    <t>Total surface cultures mineures</t>
  </si>
  <si>
    <t>Total surface cultures principales vigne, arboriculture, maraîchage</t>
  </si>
  <si>
    <t>Rappel : part des cultures mineures de la SAU</t>
  </si>
  <si>
    <t>Total surfaces légumineuses</t>
  </si>
  <si>
    <t>Part de la surface en légumineuses</t>
  </si>
  <si>
    <t>INDICATEUR IRRIGATION</t>
  </si>
  <si>
    <t xml:space="preserve">Total des points retenus </t>
  </si>
  <si>
    <t>Pourcentage de la surface de l'exploitation en IAE</t>
  </si>
  <si>
    <t>Présence de ruches</t>
  </si>
  <si>
    <t>Variété, race ou espèce menacée</t>
  </si>
  <si>
    <t>Limitation de l'utilisation de substances CMR</t>
  </si>
  <si>
    <t>Indicateur de fréquence de traitement phytosanitaire</t>
  </si>
  <si>
    <t>Utilisation des méthodes alternatives</t>
  </si>
  <si>
    <t>Conditions d'application des traitements</t>
  </si>
  <si>
    <t>Utilisation d'outils de mesure</t>
  </si>
  <si>
    <t>Indicateur Phytosanitaire</t>
  </si>
  <si>
    <t>Indicateur Fertilisation</t>
  </si>
  <si>
    <t>Indicateur Biodiversité</t>
  </si>
  <si>
    <t>Indicateur Irrigation</t>
  </si>
  <si>
    <t>AB</t>
  </si>
  <si>
    <t>AOP</t>
  </si>
  <si>
    <t>IGP</t>
  </si>
  <si>
    <t>STG</t>
  </si>
  <si>
    <t>Label rouge</t>
  </si>
  <si>
    <t>AOC</t>
  </si>
  <si>
    <t>Produit de montagne</t>
  </si>
  <si>
    <t>Montagne</t>
  </si>
  <si>
    <t>Fermier</t>
  </si>
  <si>
    <t>Produit de la ferme</t>
  </si>
  <si>
    <t>Produit à la ferme</t>
  </si>
  <si>
    <t>Produit pays</t>
  </si>
  <si>
    <t>CCP</t>
  </si>
  <si>
    <t>Système Grandes Cultures</t>
  </si>
  <si>
    <t>Pomme de Terre</t>
  </si>
  <si>
    <t>Verger</t>
  </si>
  <si>
    <t>Culture enquête PK à utiliser pour la mise à jour des valeurs</t>
  </si>
  <si>
    <t>Agrumes</t>
  </si>
  <si>
    <t>Nectarinier-Pêcher</t>
  </si>
  <si>
    <t>Grand bassin viticole (France Agrimer)</t>
  </si>
  <si>
    <t>Herbicides – plafond</t>
  </si>
  <si>
    <t>Hors Herbicides – plafond</t>
  </si>
  <si>
    <t>Alsace-Est</t>
  </si>
  <si>
    <t>Autres zones viticoles - Alsace-Est</t>
  </si>
  <si>
    <t>Bordeaux-Aquitaine</t>
  </si>
  <si>
    <t>Bourgogne-Beaujolais-Savoie-Jura</t>
  </si>
  <si>
    <t>Jura</t>
  </si>
  <si>
    <t>Autres zones viticoles -Bourgogne-Beaujolais-Savoie-Jura</t>
  </si>
  <si>
    <t>Autres zones viticoles - Champagne</t>
  </si>
  <si>
    <t>Vallée du Rhône - Provence</t>
  </si>
  <si>
    <t>Côtes-du-Rhône-Nord (septentrional)</t>
  </si>
  <si>
    <t>Côtes-du-Rhône-Sud (méridional)</t>
  </si>
  <si>
    <t>Autres zones viticoles Vallée du Rhône-Provence</t>
  </si>
  <si>
    <t>Sud-Ouest</t>
  </si>
  <si>
    <t>Autres zones viticoles - Sud-Ouest</t>
  </si>
  <si>
    <t>Val de Loire - Centre</t>
  </si>
  <si>
    <t>Autres zones viticoles Val de Loire - Centre</t>
  </si>
  <si>
    <t>Autres zones viticoles</t>
  </si>
  <si>
    <t>Herbicides</t>
  </si>
  <si>
    <t>Hors Herbicides</t>
  </si>
  <si>
    <t>Notations IFT</t>
  </si>
  <si>
    <t>IFT Grandes cultures Herbicides</t>
  </si>
  <si>
    <t>IFT Grandes cultures Hors Herbicides</t>
  </si>
  <si>
    <t>IFT Vignes Herbicides</t>
  </si>
  <si>
    <t>IFT Vignes Hors Herbicides</t>
  </si>
  <si>
    <t>IFT Arboricultures Herbicides</t>
  </si>
  <si>
    <t>IFT Arboricultures Hors Herbicides</t>
  </si>
  <si>
    <t>1.30 =&lt; IFT &lt; 1.40</t>
  </si>
  <si>
    <t>1.20 =&lt; IFT &lt; 1.30</t>
  </si>
  <si>
    <t>1.10 =&lt; IFT &lt; 1.20</t>
  </si>
  <si>
    <t>1 =&lt; IFT &lt; 1.10</t>
  </si>
  <si>
    <t>Merci de modifier, si besoin, uniquement les variables de la ligne 125 pour modifier la valeur des maximums des noations</t>
  </si>
  <si>
    <t>Maximums de points</t>
  </si>
  <si>
    <t>Département du siège social de l'exploitation</t>
  </si>
  <si>
    <t>01</t>
  </si>
  <si>
    <t>02</t>
  </si>
  <si>
    <t>04</t>
  </si>
  <si>
    <t>05</t>
  </si>
  <si>
    <t>06</t>
  </si>
  <si>
    <t>09</t>
  </si>
  <si>
    <t>03</t>
  </si>
  <si>
    <t xml:space="preserve">Tableau des valeurs plancher et plafond à utiliser pour le calcul des points </t>
  </si>
  <si>
    <t>Région:</t>
  </si>
  <si>
    <t>plancher</t>
  </si>
  <si>
    <t>plafond</t>
  </si>
  <si>
    <t>herbicides</t>
  </si>
  <si>
    <t>HH</t>
  </si>
  <si>
    <t>Corresp</t>
  </si>
  <si>
    <t>Clé</t>
  </si>
  <si>
    <t>Clé  Scoring actuel</t>
  </si>
  <si>
    <t>Clé  Ancien scoring</t>
  </si>
  <si>
    <t>Clé 2 pour pK</t>
  </si>
  <si>
    <t>Clé 2 pour PK</t>
  </si>
  <si>
    <t>clé 2</t>
  </si>
  <si>
    <t>clé 3</t>
  </si>
  <si>
    <t>à masquer : pour IFT</t>
  </si>
  <si>
    <t>ancien système</t>
  </si>
  <si>
    <t>Nombre de points sur IFT – herbicides</t>
  </si>
  <si>
    <t>Nombre de points sur IFT – hors herbicides</t>
  </si>
  <si>
    <t>Nb de points sur IFT – herbicides – ancienne notation</t>
  </si>
  <si>
    <t>Nb de points sur IFT – hors herbicides – ancienne notation</t>
  </si>
  <si>
    <t>Condition utilisation ancienne notation</t>
  </si>
  <si>
    <t>Sélection ancienne notation</t>
  </si>
  <si>
    <t xml:space="preserve">AUDIT DE NIVEAU 3 : HAUTE VALEUR ENVIRONNEMENTALE </t>
  </si>
  <si>
    <t>CERTIFICATION ENVIRONNEMENTALE DES EXPLOITATIONS AGRICOLES V2022</t>
  </si>
  <si>
    <t>AUDIT DE NIVEAU 3 : HAUTE VALEUR ENVIRONNEMENTALE</t>
  </si>
  <si>
    <t>Surfaces en hectares</t>
  </si>
  <si>
    <t xml:space="preserve">Légumes, fleurs (y compris les plantes médicinales, à parfum, ornementales, aromatiques) et fruits hors arboriculture </t>
  </si>
  <si>
    <t>Total horticulture et pépinière</t>
  </si>
  <si>
    <t>Surface des IAE sur terres arables convertie</t>
  </si>
  <si>
    <t>Surface des IAE sur la surface totale de l'exploitation convertie</t>
  </si>
  <si>
    <t xml:space="preserve">L'enregistrement des IAE est-il exhaustif ? </t>
  </si>
  <si>
    <t>SAU de l'exploitation</t>
  </si>
  <si>
    <t>Surfaces en prairies permanentes non traitées</t>
  </si>
  <si>
    <t>Quantité à saisir (kg)</t>
  </si>
  <si>
    <t>Autre démarche 1</t>
  </si>
  <si>
    <t>Autre démarche 2</t>
  </si>
  <si>
    <t>Surface en hectares</t>
  </si>
  <si>
    <t xml:space="preserve">Total des points obtenus </t>
  </si>
  <si>
    <t>Total des points retenus au prorata de la surface concernée</t>
  </si>
  <si>
    <t>Plafond retenu</t>
  </si>
  <si>
    <t>Plancher retenu</t>
  </si>
  <si>
    <t>utilisant l'un des matériels listés à l'annexe 6 du plan de contrôle.</t>
  </si>
  <si>
    <t xml:space="preserve">Les méthodes manuelles, si elles sont une opération équivalente à la mise en œuvre d’un matériel de l’annexe 6 et sous réserve qu’elles soient contrôlables, sont prises en compte. </t>
  </si>
  <si>
    <r>
      <t>Quantité à saisir en</t>
    </r>
    <r>
      <rPr>
        <b/>
        <sz val="8.5"/>
        <color theme="1"/>
        <rFont val="Calibri"/>
        <family val="2"/>
      </rPr>
      <t xml:space="preserve"> t</t>
    </r>
  </si>
  <si>
    <t>Quantité totale d'azote apporté</t>
  </si>
  <si>
    <t>Part d'azote organique</t>
  </si>
  <si>
    <t>Total points cultures principales</t>
  </si>
  <si>
    <t>Cultures mineures : utilisation d'un outil PPF</t>
  </si>
  <si>
    <t>Total points cultures mineures</t>
  </si>
  <si>
    <t>Utilisation d'un outil PPF (plan prévisionnel de fertilisation)</t>
  </si>
  <si>
    <t>Utilisation d’un outil PPF Aj (ajustement du PPF) ou ODP (outil de pilotage)</t>
  </si>
  <si>
    <t>Total des points obtenus</t>
  </si>
  <si>
    <t>Bilan azoté</t>
  </si>
  <si>
    <t>x = distance /4</t>
  </si>
  <si>
    <t>2x</t>
  </si>
  <si>
    <t>3x</t>
  </si>
  <si>
    <t>4x</t>
  </si>
  <si>
    <t>points</t>
  </si>
  <si>
    <t>Culture IFT</t>
  </si>
  <si>
    <t>Kumquat</t>
  </si>
  <si>
    <r>
      <rPr>
        <b/>
        <sz val="11"/>
        <color theme="1"/>
        <rFont val="Calibri"/>
        <family val="2"/>
      </rPr>
      <t>Source</t>
    </r>
    <r>
      <rPr>
        <sz val="11"/>
        <color theme="1"/>
        <rFont val="Calibri"/>
        <family val="2"/>
        <scheme val="minor"/>
      </rPr>
      <t> : SSP – Agreste – Grandes cultures : enquêtes sur les pratiques culturales en 2011 et en 2017, et sur les pratiques phytosanitaires en 2014</t>
    </r>
  </si>
  <si>
    <t>Code_departement</t>
  </si>
  <si>
    <t>Nom_departement</t>
  </si>
  <si>
    <t>REGION</t>
  </si>
  <si>
    <t>Nom_ancienne_region</t>
  </si>
  <si>
    <t>Bassin_viticole</t>
  </si>
  <si>
    <t>Ain</t>
  </si>
  <si>
    <t>Aisne</t>
  </si>
  <si>
    <t>Allier</t>
  </si>
  <si>
    <t>Alpes-de-Haute-Provence</t>
  </si>
  <si>
    <t>Hautes-Alpes</t>
  </si>
  <si>
    <t>Alpes-Maritimes</t>
  </si>
  <si>
    <t>07</t>
  </si>
  <si>
    <t>Ardèche</t>
  </si>
  <si>
    <t>08</t>
  </si>
  <si>
    <t>Ardennes</t>
  </si>
  <si>
    <t>Ariège</t>
  </si>
  <si>
    <t>Aube</t>
  </si>
  <si>
    <t>Aude</t>
  </si>
  <si>
    <t>Aveyron</t>
  </si>
  <si>
    <t>Calvados</t>
  </si>
  <si>
    <t>Cantal</t>
  </si>
  <si>
    <t>Charente</t>
  </si>
  <si>
    <t>Charente-Maritime</t>
  </si>
  <si>
    <t>Corrèze</t>
  </si>
  <si>
    <t>Côte-d'Or</t>
  </si>
  <si>
    <t>Côtes-d'Armor</t>
  </si>
  <si>
    <t>Creuse</t>
  </si>
  <si>
    <t>Doubs</t>
  </si>
  <si>
    <t>Drôme</t>
  </si>
  <si>
    <t>Eure</t>
  </si>
  <si>
    <t>Eure-et-Loir</t>
  </si>
  <si>
    <t>Finistère</t>
  </si>
  <si>
    <t>Gard</t>
  </si>
  <si>
    <t>Haute-Garonne</t>
  </si>
  <si>
    <t>Gironde</t>
  </si>
  <si>
    <t>Hérault</t>
  </si>
  <si>
    <t>Ille-et-Vilaine</t>
  </si>
  <si>
    <t>Indre</t>
  </si>
  <si>
    <t>Indre-et-Loire</t>
  </si>
  <si>
    <t>Isère</t>
  </si>
  <si>
    <t>Landes</t>
  </si>
  <si>
    <t>Loir-et-Cher</t>
  </si>
  <si>
    <t>Loire</t>
  </si>
  <si>
    <t>Haute-Loire</t>
  </si>
  <si>
    <t>Loire-Atlantique</t>
  </si>
  <si>
    <t>Loiret</t>
  </si>
  <si>
    <t>Lot</t>
  </si>
  <si>
    <t>Lozère</t>
  </si>
  <si>
    <t>Maine-et-Loire</t>
  </si>
  <si>
    <t>Manche</t>
  </si>
  <si>
    <t>Marne</t>
  </si>
  <si>
    <t>Haute-Marne</t>
  </si>
  <si>
    <t>Mayenne</t>
  </si>
  <si>
    <t>Meurthe-et-Moselle</t>
  </si>
  <si>
    <t>Meuse</t>
  </si>
  <si>
    <t>Morbihan</t>
  </si>
  <si>
    <t>Moselle</t>
  </si>
  <si>
    <t>Nièvre</t>
  </si>
  <si>
    <t>Nord</t>
  </si>
  <si>
    <t>Oise</t>
  </si>
  <si>
    <t>Orne</t>
  </si>
  <si>
    <t>Pas-de-Calais</t>
  </si>
  <si>
    <t>Puy-de-Dôme</t>
  </si>
  <si>
    <t>Pyrénées-Atlantiques</t>
  </si>
  <si>
    <t>Hautes-Pyrénées</t>
  </si>
  <si>
    <t>Bas-Rhin</t>
  </si>
  <si>
    <t>Haut-Rhin</t>
  </si>
  <si>
    <t>Rhône</t>
  </si>
  <si>
    <t>Périmètre AOC Beaujolais</t>
  </si>
  <si>
    <t>Hors périmètre AOC Beaujolais</t>
  </si>
  <si>
    <t>Haute-Saône</t>
  </si>
  <si>
    <t>Saône-et-Loire</t>
  </si>
  <si>
    <t>Sarthe</t>
  </si>
  <si>
    <t>Savoie</t>
  </si>
  <si>
    <t>Haute-Savoie</t>
  </si>
  <si>
    <t>Paris</t>
  </si>
  <si>
    <t>Seine-Maritime</t>
  </si>
  <si>
    <t>Seine-et-Marne</t>
  </si>
  <si>
    <t>Yvelines</t>
  </si>
  <si>
    <t>Deux-Sèvres</t>
  </si>
  <si>
    <t>Somme</t>
  </si>
  <si>
    <t>Tarn</t>
  </si>
  <si>
    <t>Tarn-et-Garonne</t>
  </si>
  <si>
    <t>Var</t>
  </si>
  <si>
    <t>Vaucluse</t>
  </si>
  <si>
    <t>Vendée</t>
  </si>
  <si>
    <t>Vienne</t>
  </si>
  <si>
    <t>Haute-Vienne</t>
  </si>
  <si>
    <t>Vosges</t>
  </si>
  <si>
    <t>Yonne</t>
  </si>
  <si>
    <t>Territoire de Belfort</t>
  </si>
  <si>
    <t>Essonne</t>
  </si>
  <si>
    <t>Hauts-de-Seine</t>
  </si>
  <si>
    <t>Seine-Saint-Denis</t>
  </si>
  <si>
    <t>Val-de-Marne</t>
  </si>
  <si>
    <t>Val-d'Oise</t>
  </si>
  <si>
    <t>La Réunion</t>
  </si>
  <si>
    <t>Mayotte</t>
  </si>
  <si>
    <t>Corse-du-Sud</t>
  </si>
  <si>
    <t>Haute-Corse</t>
  </si>
  <si>
    <t>Partie nord</t>
  </si>
  <si>
    <t>Partie sud</t>
  </si>
  <si>
    <t>Pays De La Loire</t>
  </si>
  <si>
    <t>Nord-Pas-De-Calais</t>
  </si>
  <si>
    <t>Ile-De-France</t>
  </si>
  <si>
    <t>Surface</t>
  </si>
  <si>
    <t>Modalités prise en compte ancienne méthode IFT en grandes cultures :</t>
  </si>
  <si>
    <t>Prise en compte sans pénalité surfacique = 1</t>
  </si>
  <si>
    <t>Prise en compte avec pénalité surfacique = 2</t>
  </si>
  <si>
    <t>Pas de prise en compte ancienne méthode (uniquement maj notation) = 3</t>
  </si>
  <si>
    <t>Région de référence</t>
  </si>
  <si>
    <t>Activité végétale</t>
  </si>
  <si>
    <t>Organisme Certificateur</t>
  </si>
  <si>
    <t>N°SIRET</t>
  </si>
  <si>
    <t>Nom ou Raison sociale</t>
  </si>
  <si>
    <t>Adresse</t>
  </si>
  <si>
    <t>Code Postal</t>
  </si>
  <si>
    <t xml:space="preserve">Région </t>
  </si>
  <si>
    <t>Commune</t>
  </si>
  <si>
    <t>Téléphone</t>
  </si>
  <si>
    <t>Site internet</t>
  </si>
  <si>
    <t>Vente directe</t>
  </si>
  <si>
    <t>Part de la surface concernée arboriculture et autres cultures pérennes</t>
  </si>
  <si>
    <t>Part de la surface concernée cultures hors sol</t>
  </si>
  <si>
    <t>Total SAU irriguée</t>
  </si>
  <si>
    <t>Ancien plancher</t>
  </si>
  <si>
    <t>Auvergne-Rhône-Alpes</t>
  </si>
  <si>
    <t>Bourgogne-Franche-Comté</t>
  </si>
  <si>
    <t>Centre-Val de Loire</t>
  </si>
  <si>
    <t>Grand Est</t>
  </si>
  <si>
    <t>Hauts-de-France</t>
  </si>
  <si>
    <t>Normandie</t>
  </si>
  <si>
    <t>Nouvelle-Aquitaine</t>
  </si>
  <si>
    <t>Occitanie</t>
  </si>
  <si>
    <t xml:space="preserve">Liste des communes localisées dans les parties nord / sud de l'Ardèche et de la Drôme </t>
  </si>
  <si>
    <t>Se référer à cette liste pour sélectionner la bonne modalité de la variable  "Département" dans la table Identification. Elle est déterminante pour définir le bassin viticole correspondant à l'exploitation et procéder au calcul de la note du critère IFT</t>
  </si>
  <si>
    <t>Nom de la commune</t>
  </si>
  <si>
    <t>Sous-zonage pour l'identification du bassin viticole</t>
  </si>
  <si>
    <t>Code_commune_insee_2021</t>
  </si>
  <si>
    <t>Accons</t>
  </si>
  <si>
    <t>07001</t>
  </si>
  <si>
    <t>Ailhon</t>
  </si>
  <si>
    <t>07002</t>
  </si>
  <si>
    <t>Aizac</t>
  </si>
  <si>
    <t>07003</t>
  </si>
  <si>
    <t>Ajoux</t>
  </si>
  <si>
    <t>07004</t>
  </si>
  <si>
    <t>Alba-la-Romaine</t>
  </si>
  <si>
    <t>07005</t>
  </si>
  <si>
    <t>Albon</t>
  </si>
  <si>
    <t>26002</t>
  </si>
  <si>
    <t>Albon-d'Ardèche</t>
  </si>
  <si>
    <t>07006</t>
  </si>
  <si>
    <t>Alboussière</t>
  </si>
  <si>
    <t>07007</t>
  </si>
  <si>
    <t>Aleyrac</t>
  </si>
  <si>
    <t>26003</t>
  </si>
  <si>
    <t>Alissas</t>
  </si>
  <si>
    <t>07008</t>
  </si>
  <si>
    <t>Alixan</t>
  </si>
  <si>
    <t>26004</t>
  </si>
  <si>
    <t>Allan</t>
  </si>
  <si>
    <t>26005</t>
  </si>
  <si>
    <t>Allex</t>
  </si>
  <si>
    <t>26006</t>
  </si>
  <si>
    <t>Ambonil</t>
  </si>
  <si>
    <t>26007</t>
  </si>
  <si>
    <t>Ancône</t>
  </si>
  <si>
    <t>26008</t>
  </si>
  <si>
    <t>Andance</t>
  </si>
  <si>
    <t>07009</t>
  </si>
  <si>
    <t>Andancette</t>
  </si>
  <si>
    <t>26009</t>
  </si>
  <si>
    <t>Anneyron</t>
  </si>
  <si>
    <t>26010</t>
  </si>
  <si>
    <t>Annonay</t>
  </si>
  <si>
    <t>07010</t>
  </si>
  <si>
    <t>Aouste-sur-Sye</t>
  </si>
  <si>
    <t>26011</t>
  </si>
  <si>
    <t>Arcens</t>
  </si>
  <si>
    <t>07012</t>
  </si>
  <si>
    <t>Ardoix</t>
  </si>
  <si>
    <t>07013</t>
  </si>
  <si>
    <t>Arlebosc</t>
  </si>
  <si>
    <t>07014</t>
  </si>
  <si>
    <t>Arnayon</t>
  </si>
  <si>
    <t>26012</t>
  </si>
  <si>
    <t>Arpavon</t>
  </si>
  <si>
    <t>26013</t>
  </si>
  <si>
    <t>Arras-sur-Rhône</t>
  </si>
  <si>
    <t>07015</t>
  </si>
  <si>
    <t>Arthémonay</t>
  </si>
  <si>
    <t>26014</t>
  </si>
  <si>
    <t>Astet</t>
  </si>
  <si>
    <t>07018</t>
  </si>
  <si>
    <t>Aubenas</t>
  </si>
  <si>
    <t>07019</t>
  </si>
  <si>
    <t>Aubenasson</t>
  </si>
  <si>
    <t>26015</t>
  </si>
  <si>
    <t>Aubignas</t>
  </si>
  <si>
    <t>07020</t>
  </si>
  <si>
    <t>Aubres</t>
  </si>
  <si>
    <t>26016</t>
  </si>
  <si>
    <t>Aucelon</t>
  </si>
  <si>
    <t>26017</t>
  </si>
  <si>
    <t>Aulan</t>
  </si>
  <si>
    <t>26018</t>
  </si>
  <si>
    <t>Aurel</t>
  </si>
  <si>
    <t>26019</t>
  </si>
  <si>
    <t>Autichamp</t>
  </si>
  <si>
    <t>26021</t>
  </si>
  <si>
    <t>Baix</t>
  </si>
  <si>
    <t>07022</t>
  </si>
  <si>
    <t>Balazuc</t>
  </si>
  <si>
    <t>07023</t>
  </si>
  <si>
    <t>Ballons</t>
  </si>
  <si>
    <t>26022</t>
  </si>
  <si>
    <t>Banne</t>
  </si>
  <si>
    <t>07024</t>
  </si>
  <si>
    <t>Barbières</t>
  </si>
  <si>
    <t>26023</t>
  </si>
  <si>
    <t>Barcelonne</t>
  </si>
  <si>
    <t>26024</t>
  </si>
  <si>
    <t>Barnas</t>
  </si>
  <si>
    <t>07025</t>
  </si>
  <si>
    <t>Barnave</t>
  </si>
  <si>
    <t>26025</t>
  </si>
  <si>
    <t>Barret-de-Lioure</t>
  </si>
  <si>
    <t>26026</t>
  </si>
  <si>
    <t>Barsac</t>
  </si>
  <si>
    <t>26027</t>
  </si>
  <si>
    <t>Bathernay</t>
  </si>
  <si>
    <t>26028</t>
  </si>
  <si>
    <t>Beauchastel</t>
  </si>
  <si>
    <t>07027</t>
  </si>
  <si>
    <t>Beaufort-sur-Gervanne</t>
  </si>
  <si>
    <t>26035</t>
  </si>
  <si>
    <t>Beaulieu</t>
  </si>
  <si>
    <t>07028</t>
  </si>
  <si>
    <t>Beaumont</t>
  </si>
  <si>
    <t>07029</t>
  </si>
  <si>
    <t>Beaumont-en-Diois</t>
  </si>
  <si>
    <t>26036</t>
  </si>
  <si>
    <t>Beaumont-lès-Valence</t>
  </si>
  <si>
    <t>26037</t>
  </si>
  <si>
    <t>Beaumont-Monteux</t>
  </si>
  <si>
    <t>26038</t>
  </si>
  <si>
    <t>Beauregard-Baret</t>
  </si>
  <si>
    <t>26039</t>
  </si>
  <si>
    <t>Beaurières</t>
  </si>
  <si>
    <t>26040</t>
  </si>
  <si>
    <t>Beausemblant</t>
  </si>
  <si>
    <t>26041</t>
  </si>
  <si>
    <t>Beauvallon</t>
  </si>
  <si>
    <t>26042</t>
  </si>
  <si>
    <t>Beauvène</t>
  </si>
  <si>
    <t>07030</t>
  </si>
  <si>
    <t>Beauvoisin</t>
  </si>
  <si>
    <t>26043</t>
  </si>
  <si>
    <t>Bellecombe-Tarendol</t>
  </si>
  <si>
    <t>26046</t>
  </si>
  <si>
    <t>Bellegarde-en-Diois</t>
  </si>
  <si>
    <t>26047</t>
  </si>
  <si>
    <t>Belsentes</t>
  </si>
  <si>
    <t>07165</t>
  </si>
  <si>
    <t>Bénivay-Ollon</t>
  </si>
  <si>
    <t>26048</t>
  </si>
  <si>
    <t>Berrias-et-Casteljau</t>
  </si>
  <si>
    <t>07031</t>
  </si>
  <si>
    <t>Berzème</t>
  </si>
  <si>
    <t>07032</t>
  </si>
  <si>
    <t>Bésayes</t>
  </si>
  <si>
    <t>26049</t>
  </si>
  <si>
    <t>Bésignan</t>
  </si>
  <si>
    <t>26050</t>
  </si>
  <si>
    <t>Bessas</t>
  </si>
  <si>
    <t>07033</t>
  </si>
  <si>
    <t>Bézaudun-sur-Bîne</t>
  </si>
  <si>
    <t>26051</t>
  </si>
  <si>
    <t>Bidon</t>
  </si>
  <si>
    <t>07034</t>
  </si>
  <si>
    <t>Boffres</t>
  </si>
  <si>
    <t>07035</t>
  </si>
  <si>
    <t>Bogy</t>
  </si>
  <si>
    <t>07036</t>
  </si>
  <si>
    <t>Bonlieu-sur-Roubion</t>
  </si>
  <si>
    <t>26052</t>
  </si>
  <si>
    <t>Borée</t>
  </si>
  <si>
    <t>07037</t>
  </si>
  <si>
    <t>Borne</t>
  </si>
  <si>
    <t>07038</t>
  </si>
  <si>
    <t>Bouchet</t>
  </si>
  <si>
    <t>26054</t>
  </si>
  <si>
    <t>Boucieu-le-Roi</t>
  </si>
  <si>
    <t>07040</t>
  </si>
  <si>
    <t>Boulc</t>
  </si>
  <si>
    <t>26055</t>
  </si>
  <si>
    <t>Boulieu-lès-Annonay</t>
  </si>
  <si>
    <t>07041</t>
  </si>
  <si>
    <t>Bourdeaux</t>
  </si>
  <si>
    <t>26056</t>
  </si>
  <si>
    <t>Bourg-de-Péage</t>
  </si>
  <si>
    <t>26057</t>
  </si>
  <si>
    <t>Bourg-lès-Valence</t>
  </si>
  <si>
    <t>26058</t>
  </si>
  <si>
    <t>Bourg-Saint-Andéol</t>
  </si>
  <si>
    <t>07042</t>
  </si>
  <si>
    <t>Bouvante</t>
  </si>
  <si>
    <t>26059</t>
  </si>
  <si>
    <t>Bouvières</t>
  </si>
  <si>
    <t>26060</t>
  </si>
  <si>
    <t>Bozas</t>
  </si>
  <si>
    <t>07039</t>
  </si>
  <si>
    <t>Bren</t>
  </si>
  <si>
    <t>26061</t>
  </si>
  <si>
    <t>Brette</t>
  </si>
  <si>
    <t>26062</t>
  </si>
  <si>
    <t>Brossainc</t>
  </si>
  <si>
    <t>07044</t>
  </si>
  <si>
    <t>Buis-les-Baronnies</t>
  </si>
  <si>
    <t>26063</t>
  </si>
  <si>
    <t>Burzet</t>
  </si>
  <si>
    <t>07045</t>
  </si>
  <si>
    <t>Cellier-du-Luc</t>
  </si>
  <si>
    <t>07047</t>
  </si>
  <si>
    <t>Chabeuil</t>
  </si>
  <si>
    <t>26064</t>
  </si>
  <si>
    <t>Chabrillan</t>
  </si>
  <si>
    <t>26065</t>
  </si>
  <si>
    <t>Chalancon</t>
  </si>
  <si>
    <t>26067</t>
  </si>
  <si>
    <t>Chalencon</t>
  </si>
  <si>
    <t>07048</t>
  </si>
  <si>
    <t>Chamaloc</t>
  </si>
  <si>
    <t>26069</t>
  </si>
  <si>
    <t>Chamaret</t>
  </si>
  <si>
    <t>26070</t>
  </si>
  <si>
    <t>Chambonas</t>
  </si>
  <si>
    <t>07050</t>
  </si>
  <si>
    <t>07051</t>
  </si>
  <si>
    <t>Champis</t>
  </si>
  <si>
    <t>07052</t>
  </si>
  <si>
    <t>Chandolas</t>
  </si>
  <si>
    <t>07053</t>
  </si>
  <si>
    <t>Chanéac</t>
  </si>
  <si>
    <t>07054</t>
  </si>
  <si>
    <t>Chanos-Curson</t>
  </si>
  <si>
    <t>26071</t>
  </si>
  <si>
    <t>Chantemerle-les-Blés</t>
  </si>
  <si>
    <t>26072</t>
  </si>
  <si>
    <t>Chantemerle-lès-Grignan</t>
  </si>
  <si>
    <t>26073</t>
  </si>
  <si>
    <t>Charens</t>
  </si>
  <si>
    <t>26076</t>
  </si>
  <si>
    <t>Charmes-sur-l'Herbasse</t>
  </si>
  <si>
    <t>26077</t>
  </si>
  <si>
    <t>Charmes-sur-Rhône</t>
  </si>
  <si>
    <t>07055</t>
  </si>
  <si>
    <t>Charnas</t>
  </si>
  <si>
    <t>07056</t>
  </si>
  <si>
    <t>Charols</t>
  </si>
  <si>
    <t>26078</t>
  </si>
  <si>
    <t>Charpey</t>
  </si>
  <si>
    <t>26079</t>
  </si>
  <si>
    <t>Chassiers</t>
  </si>
  <si>
    <t>07058</t>
  </si>
  <si>
    <t>Chastel-Arnaud</t>
  </si>
  <si>
    <t>26080</t>
  </si>
  <si>
    <t>Châteaubourg</t>
  </si>
  <si>
    <t>07059</t>
  </si>
  <si>
    <t>Châteaudouble</t>
  </si>
  <si>
    <t>26081</t>
  </si>
  <si>
    <t>Châteauneuf-de-Bordette</t>
  </si>
  <si>
    <t>26082</t>
  </si>
  <si>
    <t>Châteauneuf-de-Galaure</t>
  </si>
  <si>
    <t>26083</t>
  </si>
  <si>
    <t>Châteauneuf-de-Vernoux</t>
  </si>
  <si>
    <t>07060</t>
  </si>
  <si>
    <t>Châteauneuf-du-Rhône</t>
  </si>
  <si>
    <t>26085</t>
  </si>
  <si>
    <t>Châteauneuf-sur-Isère</t>
  </si>
  <si>
    <t>26084</t>
  </si>
  <si>
    <t>Châtillon-en-Diois</t>
  </si>
  <si>
    <t>26086</t>
  </si>
  <si>
    <t>Châtillon-Saint-Jean</t>
  </si>
  <si>
    <t>26087</t>
  </si>
  <si>
    <t>Chatuzange-le-Goubet</t>
  </si>
  <si>
    <t>26088</t>
  </si>
  <si>
    <t>Chaudebonne</t>
  </si>
  <si>
    <t>26089</t>
  </si>
  <si>
    <t>Chauvac-Laux-Montaux</t>
  </si>
  <si>
    <t>26091</t>
  </si>
  <si>
    <t>Chauzon</t>
  </si>
  <si>
    <t>07061</t>
  </si>
  <si>
    <t>Chavannes</t>
  </si>
  <si>
    <t>26092</t>
  </si>
  <si>
    <t>Chazeaux</t>
  </si>
  <si>
    <t>07062</t>
  </si>
  <si>
    <t>Cheminas</t>
  </si>
  <si>
    <t>07063</t>
  </si>
  <si>
    <t>Chirols</t>
  </si>
  <si>
    <t>07065</t>
  </si>
  <si>
    <t>Chomérac</t>
  </si>
  <si>
    <t>07066</t>
  </si>
  <si>
    <t>Clansayes</t>
  </si>
  <si>
    <t>26093</t>
  </si>
  <si>
    <t>Claveyson</t>
  </si>
  <si>
    <t>26094</t>
  </si>
  <si>
    <t>Cléon-d'Andran</t>
  </si>
  <si>
    <t>26095</t>
  </si>
  <si>
    <t>Clérieux</t>
  </si>
  <si>
    <t>26096</t>
  </si>
  <si>
    <t>Cliousclat</t>
  </si>
  <si>
    <t>26097</t>
  </si>
  <si>
    <t>Cobonne</t>
  </si>
  <si>
    <t>26098</t>
  </si>
  <si>
    <t>Colombier-le-Cardinal</t>
  </si>
  <si>
    <t>07067</t>
  </si>
  <si>
    <t>Colombier-le-Jeune</t>
  </si>
  <si>
    <t>07068</t>
  </si>
  <si>
    <t>Colombier-le-Vieux</t>
  </si>
  <si>
    <t>07069</t>
  </si>
  <si>
    <t>Colonzelle</t>
  </si>
  <si>
    <t>26099</t>
  </si>
  <si>
    <t>Combovin</t>
  </si>
  <si>
    <t>26100</t>
  </si>
  <si>
    <t>Comps</t>
  </si>
  <si>
    <t>26101</t>
  </si>
  <si>
    <t>Condillac</t>
  </si>
  <si>
    <t>26102</t>
  </si>
  <si>
    <t>Condorcet</t>
  </si>
  <si>
    <t>26103</t>
  </si>
  <si>
    <t>Cornas</t>
  </si>
  <si>
    <t>07070</t>
  </si>
  <si>
    <t>Cornillac</t>
  </si>
  <si>
    <t>26104</t>
  </si>
  <si>
    <t>Cornillon-sur-l'Oule</t>
  </si>
  <si>
    <t>26105</t>
  </si>
  <si>
    <t>Coucouron</t>
  </si>
  <si>
    <t>07071</t>
  </si>
  <si>
    <t>Coux</t>
  </si>
  <si>
    <t>07072</t>
  </si>
  <si>
    <t>Crépol</t>
  </si>
  <si>
    <t>26107</t>
  </si>
  <si>
    <t>Crest</t>
  </si>
  <si>
    <t>26108</t>
  </si>
  <si>
    <t>Creysseilles</t>
  </si>
  <si>
    <t>07074</t>
  </si>
  <si>
    <t>Cros-de-Géorand</t>
  </si>
  <si>
    <t>07075</t>
  </si>
  <si>
    <t>Crozes-Hermitage</t>
  </si>
  <si>
    <t>26110</t>
  </si>
  <si>
    <t>Cruas</t>
  </si>
  <si>
    <t>07076</t>
  </si>
  <si>
    <t>Crupies</t>
  </si>
  <si>
    <t>26111</t>
  </si>
  <si>
    <t>Curnier</t>
  </si>
  <si>
    <t>26112</t>
  </si>
  <si>
    <t>Darbres</t>
  </si>
  <si>
    <t>07077</t>
  </si>
  <si>
    <t>Davézieux</t>
  </si>
  <si>
    <t>07078</t>
  </si>
  <si>
    <t>Désaignes</t>
  </si>
  <si>
    <t>07079</t>
  </si>
  <si>
    <t>Devesset</t>
  </si>
  <si>
    <t>07080</t>
  </si>
  <si>
    <t>Die</t>
  </si>
  <si>
    <t>26113</t>
  </si>
  <si>
    <t>Dieulefit</t>
  </si>
  <si>
    <t>26114</t>
  </si>
  <si>
    <t>Divajeu</t>
  </si>
  <si>
    <t>26115</t>
  </si>
  <si>
    <t>Dompnac</t>
  </si>
  <si>
    <t>07081</t>
  </si>
  <si>
    <t>Donzère</t>
  </si>
  <si>
    <t>26116</t>
  </si>
  <si>
    <t>Dornas</t>
  </si>
  <si>
    <t>07082</t>
  </si>
  <si>
    <t>Dunière-sur-Eyrieux</t>
  </si>
  <si>
    <t>07083</t>
  </si>
  <si>
    <t>Échevis</t>
  </si>
  <si>
    <t>26117</t>
  </si>
  <si>
    <t>Eclassan</t>
  </si>
  <si>
    <t>07084</t>
  </si>
  <si>
    <t>Empurany</t>
  </si>
  <si>
    <t>07085</t>
  </si>
  <si>
    <t>Épinouze</t>
  </si>
  <si>
    <t>26118</t>
  </si>
  <si>
    <t>Érôme</t>
  </si>
  <si>
    <t>26119</t>
  </si>
  <si>
    <t>Espeluche</t>
  </si>
  <si>
    <t>26121</t>
  </si>
  <si>
    <t>Espenel</t>
  </si>
  <si>
    <t>26122</t>
  </si>
  <si>
    <t>Establet</t>
  </si>
  <si>
    <t>26123</t>
  </si>
  <si>
    <t>Étables</t>
  </si>
  <si>
    <t>07086</t>
  </si>
  <si>
    <t>Étoile-sur-Rhône</t>
  </si>
  <si>
    <t>26124</t>
  </si>
  <si>
    <t>Eurre</t>
  </si>
  <si>
    <t>26125</t>
  </si>
  <si>
    <t>Eygalayes</t>
  </si>
  <si>
    <t>26126</t>
  </si>
  <si>
    <t>Eygaliers</t>
  </si>
  <si>
    <t>26127</t>
  </si>
  <si>
    <t>Eygluy-Escoulin</t>
  </si>
  <si>
    <t>26128</t>
  </si>
  <si>
    <t>Eymeux</t>
  </si>
  <si>
    <t>26129</t>
  </si>
  <si>
    <t>Eyroles</t>
  </si>
  <si>
    <t>26130</t>
  </si>
  <si>
    <t>Eyzahut</t>
  </si>
  <si>
    <t>26131</t>
  </si>
  <si>
    <t>Fabras</t>
  </si>
  <si>
    <t>07087</t>
  </si>
  <si>
    <t>Faugères</t>
  </si>
  <si>
    <t>07088</t>
  </si>
  <si>
    <t>Fay-le-Clos</t>
  </si>
  <si>
    <t>26133</t>
  </si>
  <si>
    <t>Félines</t>
  </si>
  <si>
    <t>07089</t>
  </si>
  <si>
    <t>Félines-sur-Rimandoule</t>
  </si>
  <si>
    <t>26134</t>
  </si>
  <si>
    <t>Ferrassières</t>
  </si>
  <si>
    <t>26135</t>
  </si>
  <si>
    <t>Flaviac</t>
  </si>
  <si>
    <t>07090</t>
  </si>
  <si>
    <t>Fons</t>
  </si>
  <si>
    <t>07091</t>
  </si>
  <si>
    <t>Francillon-sur-Roubion</t>
  </si>
  <si>
    <t>26137</t>
  </si>
  <si>
    <t>Freyssenet</t>
  </si>
  <si>
    <t>07092</t>
  </si>
  <si>
    <t>Genestelle</t>
  </si>
  <si>
    <t>07093</t>
  </si>
  <si>
    <t>Génissieux</t>
  </si>
  <si>
    <t>26139</t>
  </si>
  <si>
    <t>Gervans</t>
  </si>
  <si>
    <t>26380</t>
  </si>
  <si>
    <t>Geyssans</t>
  </si>
  <si>
    <t>26140</t>
  </si>
  <si>
    <t>Gigors-et-Lozeron</t>
  </si>
  <si>
    <t>26141</t>
  </si>
  <si>
    <t>Gilhac-et-Bruzac</t>
  </si>
  <si>
    <t>07094</t>
  </si>
  <si>
    <t>Gilhoc-sur-Ormèze</t>
  </si>
  <si>
    <t>07095</t>
  </si>
  <si>
    <t>Glandage</t>
  </si>
  <si>
    <t>26142</t>
  </si>
  <si>
    <t>Gluiras</t>
  </si>
  <si>
    <t>07096</t>
  </si>
  <si>
    <t>Glun</t>
  </si>
  <si>
    <t>07097</t>
  </si>
  <si>
    <t>Gourdon</t>
  </si>
  <si>
    <t>07098</t>
  </si>
  <si>
    <t>Grane</t>
  </si>
  <si>
    <t>26144</t>
  </si>
  <si>
    <t>Granges-les-Beaumont</t>
  </si>
  <si>
    <t>26379</t>
  </si>
  <si>
    <t>Gras</t>
  </si>
  <si>
    <t>07099</t>
  </si>
  <si>
    <t>Gravières</t>
  </si>
  <si>
    <t>07100</t>
  </si>
  <si>
    <t>Grignan</t>
  </si>
  <si>
    <t>26146</t>
  </si>
  <si>
    <t>Grospierres</t>
  </si>
  <si>
    <t>07101</t>
  </si>
  <si>
    <t>Guilherand-Granges</t>
  </si>
  <si>
    <t>07102</t>
  </si>
  <si>
    <t>Gumiane</t>
  </si>
  <si>
    <t>26147</t>
  </si>
  <si>
    <t>Hauterives</t>
  </si>
  <si>
    <t>26148</t>
  </si>
  <si>
    <t>Hostun</t>
  </si>
  <si>
    <t>26149</t>
  </si>
  <si>
    <t>Issamoulenc</t>
  </si>
  <si>
    <t>07104</t>
  </si>
  <si>
    <t>Issanlas</t>
  </si>
  <si>
    <t>07105</t>
  </si>
  <si>
    <t>Issarlès</t>
  </si>
  <si>
    <t>07106</t>
  </si>
  <si>
    <t>Izon-la-Bruisse</t>
  </si>
  <si>
    <t>26150</t>
  </si>
  <si>
    <t>Jaillans</t>
  </si>
  <si>
    <t>26381</t>
  </si>
  <si>
    <t>Jaujac</t>
  </si>
  <si>
    <t>07107</t>
  </si>
  <si>
    <t>Jaunac</t>
  </si>
  <si>
    <t>07108</t>
  </si>
  <si>
    <t>Joannas</t>
  </si>
  <si>
    <t>07109</t>
  </si>
  <si>
    <t>Jonchères</t>
  </si>
  <si>
    <t>26152</t>
  </si>
  <si>
    <t>Joyeuse</t>
  </si>
  <si>
    <t>07110</t>
  </si>
  <si>
    <t>Juvinas</t>
  </si>
  <si>
    <t>07111</t>
  </si>
  <si>
    <t>La Bâtie-des-Fonds</t>
  </si>
  <si>
    <t>26030</t>
  </si>
  <si>
    <t>La Bâtie-Rolland</t>
  </si>
  <si>
    <t>26031</t>
  </si>
  <si>
    <t>La Baume-Cornillane</t>
  </si>
  <si>
    <t>26032</t>
  </si>
  <si>
    <t>La Baume-d'Hostun</t>
  </si>
  <si>
    <t>26034</t>
  </si>
  <si>
    <t>La Baume-de-Transit</t>
  </si>
  <si>
    <t>26033</t>
  </si>
  <si>
    <t>La Bégude-de-Mazenc</t>
  </si>
  <si>
    <t>26045</t>
  </si>
  <si>
    <t>La Chapelle-en-Vercors</t>
  </si>
  <si>
    <t>26074</t>
  </si>
  <si>
    <t>La Charce</t>
  </si>
  <si>
    <t>26075</t>
  </si>
  <si>
    <t>La Chaudière</t>
  </si>
  <si>
    <t>26090</t>
  </si>
  <si>
    <t>La Coucourde</t>
  </si>
  <si>
    <t>26106</t>
  </si>
  <si>
    <t>La Garde-Adhémar</t>
  </si>
  <si>
    <t>26138</t>
  </si>
  <si>
    <t>La Laupie</t>
  </si>
  <si>
    <t>26157</t>
  </si>
  <si>
    <t>La Motte-Chalancon</t>
  </si>
  <si>
    <t>26215</t>
  </si>
  <si>
    <t>La Motte-de-Galaure</t>
  </si>
  <si>
    <t>26216</t>
  </si>
  <si>
    <t>La Motte-Fanjas</t>
  </si>
  <si>
    <t>26217</t>
  </si>
  <si>
    <t>La Penne-sur-l'Ouvèze</t>
  </si>
  <si>
    <t>26229</t>
  </si>
  <si>
    <t>La Répara-Auriples</t>
  </si>
  <si>
    <t>26020</t>
  </si>
  <si>
    <t>La Roche-de-Glun</t>
  </si>
  <si>
    <t>26271</t>
  </si>
  <si>
    <t>La Roche-sur-Grane</t>
  </si>
  <si>
    <t>26277</t>
  </si>
  <si>
    <t>La Roche-sur-le-Buis</t>
  </si>
  <si>
    <t>26278</t>
  </si>
  <si>
    <t>La Rochette</t>
  </si>
  <si>
    <t>07195</t>
  </si>
  <si>
    <t>La Rochette-du-Buis</t>
  </si>
  <si>
    <t>26279</t>
  </si>
  <si>
    <t>La Souche</t>
  </si>
  <si>
    <t>07315</t>
  </si>
  <si>
    <t>La Touche</t>
  </si>
  <si>
    <t>26352</t>
  </si>
  <si>
    <t>La Voulte-sur-Rhône</t>
  </si>
  <si>
    <t>07349</t>
  </si>
  <si>
    <t>Labastide-de-Virac</t>
  </si>
  <si>
    <t>07113</t>
  </si>
  <si>
    <t>Labastide-sur-Bésorgues</t>
  </si>
  <si>
    <t>07112</t>
  </si>
  <si>
    <t>Labatie-d'Andaure</t>
  </si>
  <si>
    <t>07114</t>
  </si>
  <si>
    <t>Labeaume</t>
  </si>
  <si>
    <t>07115</t>
  </si>
  <si>
    <t>Labégude</t>
  </si>
  <si>
    <t>07116</t>
  </si>
  <si>
    <t>Lablachère</t>
  </si>
  <si>
    <t>07117</t>
  </si>
  <si>
    <t>Laborel</t>
  </si>
  <si>
    <t>26153</t>
  </si>
  <si>
    <t>Laboule</t>
  </si>
  <si>
    <t>07118</t>
  </si>
  <si>
    <t>Lachamp-Raphaël</t>
  </si>
  <si>
    <t>07120</t>
  </si>
  <si>
    <t>Lachapelle-Graillouse</t>
  </si>
  <si>
    <t>07121</t>
  </si>
  <si>
    <t>Lachapelle-sous-Aubenas</t>
  </si>
  <si>
    <t>07122</t>
  </si>
  <si>
    <t>Lachapelle-sous-Chanéac</t>
  </si>
  <si>
    <t>07123</t>
  </si>
  <si>
    <t>Lachau</t>
  </si>
  <si>
    <t>26154</t>
  </si>
  <si>
    <t>Lafarre</t>
  </si>
  <si>
    <t>07124</t>
  </si>
  <si>
    <t>Lagorce</t>
  </si>
  <si>
    <t>07126</t>
  </si>
  <si>
    <t>Lalevade-d'Ardèche</t>
  </si>
  <si>
    <t>07127</t>
  </si>
  <si>
    <t>Lalouvesc</t>
  </si>
  <si>
    <t>07128</t>
  </si>
  <si>
    <t>Lamastre</t>
  </si>
  <si>
    <t>07129</t>
  </si>
  <si>
    <t>Lanarce</t>
  </si>
  <si>
    <t>07130</t>
  </si>
  <si>
    <t>Lanas</t>
  </si>
  <si>
    <t>07131</t>
  </si>
  <si>
    <t>Lapeyrouse-Mornay</t>
  </si>
  <si>
    <t>26155</t>
  </si>
  <si>
    <t>Largentière</t>
  </si>
  <si>
    <t>07132</t>
  </si>
  <si>
    <t>Larnage</t>
  </si>
  <si>
    <t>26156</t>
  </si>
  <si>
    <t>Larnas</t>
  </si>
  <si>
    <t>07133</t>
  </si>
  <si>
    <t>Laurac-en-Vivarais</t>
  </si>
  <si>
    <t>07134</t>
  </si>
  <si>
    <t>Laval-d'Aix</t>
  </si>
  <si>
    <t>26159</t>
  </si>
  <si>
    <t>Laveyron</t>
  </si>
  <si>
    <t>26160</t>
  </si>
  <si>
    <t>Laveyrune</t>
  </si>
  <si>
    <t>07136</t>
  </si>
  <si>
    <t>Lavillatte</t>
  </si>
  <si>
    <t>07137</t>
  </si>
  <si>
    <t>Lavilledieu</t>
  </si>
  <si>
    <t>07138</t>
  </si>
  <si>
    <t>Laviolle</t>
  </si>
  <si>
    <t>07139</t>
  </si>
  <si>
    <t>Le Béage</t>
  </si>
  <si>
    <t>07026</t>
  </si>
  <si>
    <t>Le Chaffal</t>
  </si>
  <si>
    <t>26066</t>
  </si>
  <si>
    <t>Le Chalon</t>
  </si>
  <si>
    <t>26068</t>
  </si>
  <si>
    <t>Le Chambon</t>
  </si>
  <si>
    <t>07049</t>
  </si>
  <si>
    <t>Le Cheylard</t>
  </si>
  <si>
    <t>07064</t>
  </si>
  <si>
    <t>Le Crestet</t>
  </si>
  <si>
    <t>07073</t>
  </si>
  <si>
    <t>Le Grand-Serre</t>
  </si>
  <si>
    <t>26143</t>
  </si>
  <si>
    <t>Le Lac-d'Issarlès</t>
  </si>
  <si>
    <t>07119</t>
  </si>
  <si>
    <t>Le Pègue</t>
  </si>
  <si>
    <t>26226</t>
  </si>
  <si>
    <t>Le Plagnal</t>
  </si>
  <si>
    <t>07175</t>
  </si>
  <si>
    <t>Le Poët-Célard</t>
  </si>
  <si>
    <t>26241</t>
  </si>
  <si>
    <t>Le Poët-en-Percip</t>
  </si>
  <si>
    <t>26242</t>
  </si>
  <si>
    <t>Le Poët-Laval</t>
  </si>
  <si>
    <t>26243</t>
  </si>
  <si>
    <t>Le Poët-Sigillat</t>
  </si>
  <si>
    <t>26244</t>
  </si>
  <si>
    <t>Le Pouzin</t>
  </si>
  <si>
    <t>07181</t>
  </si>
  <si>
    <t>Le Roux</t>
  </si>
  <si>
    <t>07200</t>
  </si>
  <si>
    <t>Le Teil</t>
  </si>
  <si>
    <t>07319</t>
  </si>
  <si>
    <t>Lemps</t>
  </si>
  <si>
    <t>26161</t>
  </si>
  <si>
    <t>07140</t>
  </si>
  <si>
    <t>Lens-Lestang</t>
  </si>
  <si>
    <t>26162</t>
  </si>
  <si>
    <t>Lentillères</t>
  </si>
  <si>
    <t>07141</t>
  </si>
  <si>
    <t>Léoncel</t>
  </si>
  <si>
    <t>26163</t>
  </si>
  <si>
    <t>Les Assions</t>
  </si>
  <si>
    <t>07017</t>
  </si>
  <si>
    <t>Les Granges-Gontardes</t>
  </si>
  <si>
    <t>26145</t>
  </si>
  <si>
    <t>Les Ollières-sur-Eyrieux</t>
  </si>
  <si>
    <t>07167</t>
  </si>
  <si>
    <t>Les Pilles</t>
  </si>
  <si>
    <t>26238</t>
  </si>
  <si>
    <t>Les Prés</t>
  </si>
  <si>
    <t>26255</t>
  </si>
  <si>
    <t>Les Salelles</t>
  </si>
  <si>
    <t>07305</t>
  </si>
  <si>
    <t>Les Tonils</t>
  </si>
  <si>
    <t>26351</t>
  </si>
  <si>
    <t>Les Tourrettes</t>
  </si>
  <si>
    <t>26353</t>
  </si>
  <si>
    <t>Les Vans</t>
  </si>
  <si>
    <t>07334</t>
  </si>
  <si>
    <t>Lesches-en-Diois</t>
  </si>
  <si>
    <t>26164</t>
  </si>
  <si>
    <t>Lespéron</t>
  </si>
  <si>
    <t>07142</t>
  </si>
  <si>
    <t>Limony</t>
  </si>
  <si>
    <t>07143</t>
  </si>
  <si>
    <t>Livron-sur-Drôme</t>
  </si>
  <si>
    <t>26165</t>
  </si>
  <si>
    <t>Loriol-sur-Drôme</t>
  </si>
  <si>
    <t>26166</t>
  </si>
  <si>
    <t>Loubaresse</t>
  </si>
  <si>
    <t>07144</t>
  </si>
  <si>
    <t>Luc-en-Diois</t>
  </si>
  <si>
    <t>26167</t>
  </si>
  <si>
    <t>Lus-la-Croix-Haute</t>
  </si>
  <si>
    <t>26168</t>
  </si>
  <si>
    <t>Lussas</t>
  </si>
  <si>
    <t>07145</t>
  </si>
  <si>
    <t>Lyas</t>
  </si>
  <si>
    <t>07146</t>
  </si>
  <si>
    <t>Malarce-sur-la-Thines</t>
  </si>
  <si>
    <t>07147</t>
  </si>
  <si>
    <t>Malataverne</t>
  </si>
  <si>
    <t>26169</t>
  </si>
  <si>
    <t>Malbosc</t>
  </si>
  <si>
    <t>07148</t>
  </si>
  <si>
    <t>Malissard</t>
  </si>
  <si>
    <t>26170</t>
  </si>
  <si>
    <t>Manas</t>
  </si>
  <si>
    <t>26171</t>
  </si>
  <si>
    <t>Manthes</t>
  </si>
  <si>
    <t>26172</t>
  </si>
  <si>
    <t>Marches</t>
  </si>
  <si>
    <t>26173</t>
  </si>
  <si>
    <t>Marcols-les-Eaux</t>
  </si>
  <si>
    <t>07149</t>
  </si>
  <si>
    <t>Margès</t>
  </si>
  <si>
    <t>26174</t>
  </si>
  <si>
    <t>Mariac</t>
  </si>
  <si>
    <t>07150</t>
  </si>
  <si>
    <t>Marignac-en-Diois</t>
  </si>
  <si>
    <t>26175</t>
  </si>
  <si>
    <t>Mars</t>
  </si>
  <si>
    <t>07151</t>
  </si>
  <si>
    <t>Marsanne</t>
  </si>
  <si>
    <t>26176</t>
  </si>
  <si>
    <t>Marsaz</t>
  </si>
  <si>
    <t>26177</t>
  </si>
  <si>
    <t>Mauves</t>
  </si>
  <si>
    <t>07152</t>
  </si>
  <si>
    <t>Mayres</t>
  </si>
  <si>
    <t>07153</t>
  </si>
  <si>
    <t>Mazan-l'Abbaye</t>
  </si>
  <si>
    <t>07154</t>
  </si>
  <si>
    <t>Menglon</t>
  </si>
  <si>
    <t>26178</t>
  </si>
  <si>
    <t>Mercuer</t>
  </si>
  <si>
    <t>07155</t>
  </si>
  <si>
    <t>Mercurol-Veaunes</t>
  </si>
  <si>
    <t>26179</t>
  </si>
  <si>
    <t>Mérindol-les-Oliviers</t>
  </si>
  <si>
    <t>26180</t>
  </si>
  <si>
    <t>Mévouillon</t>
  </si>
  <si>
    <t>26181</t>
  </si>
  <si>
    <t>Meyras</t>
  </si>
  <si>
    <t>07156</t>
  </si>
  <si>
    <t>Meysse</t>
  </si>
  <si>
    <t>07157</t>
  </si>
  <si>
    <t>Mézilhac</t>
  </si>
  <si>
    <t>07158</t>
  </si>
  <si>
    <t>Mirabel</t>
  </si>
  <si>
    <t>07159</t>
  </si>
  <si>
    <t>Mirabel-aux-Baronnies</t>
  </si>
  <si>
    <t>26182</t>
  </si>
  <si>
    <t>Mirabel-et-Blacons</t>
  </si>
  <si>
    <t>26183</t>
  </si>
  <si>
    <t>Mirmande</t>
  </si>
  <si>
    <t>26185</t>
  </si>
  <si>
    <t>Miscon</t>
  </si>
  <si>
    <t>26186</t>
  </si>
  <si>
    <t>Mollans-sur-Ouvèze</t>
  </si>
  <si>
    <t>26188</t>
  </si>
  <si>
    <t>Monestier</t>
  </si>
  <si>
    <t>07160</t>
  </si>
  <si>
    <t>Montauban-sur-l'Ouvèze</t>
  </si>
  <si>
    <t>26189</t>
  </si>
  <si>
    <t>Montaulieu</t>
  </si>
  <si>
    <t>26190</t>
  </si>
  <si>
    <t>Montboucher-sur-Jabron</t>
  </si>
  <si>
    <t>26191</t>
  </si>
  <si>
    <t>Montbrison-sur-Lez</t>
  </si>
  <si>
    <t>26192</t>
  </si>
  <si>
    <t>Montbrun-les-Bains</t>
  </si>
  <si>
    <t>26193</t>
  </si>
  <si>
    <t>Montchenu</t>
  </si>
  <si>
    <t>26194</t>
  </si>
  <si>
    <t>Montclar-sur-Gervanne</t>
  </si>
  <si>
    <t>26195</t>
  </si>
  <si>
    <t>Montéléger</t>
  </si>
  <si>
    <t>26196</t>
  </si>
  <si>
    <t>Montélier</t>
  </si>
  <si>
    <t>26197</t>
  </si>
  <si>
    <t>Montélimar</t>
  </si>
  <si>
    <t>26198</t>
  </si>
  <si>
    <t>Montferrand-la-Fare</t>
  </si>
  <si>
    <t>26199</t>
  </si>
  <si>
    <t>Montfroc</t>
  </si>
  <si>
    <t>26200</t>
  </si>
  <si>
    <t>Montguers</t>
  </si>
  <si>
    <t>26201</t>
  </si>
  <si>
    <t>Montjoux</t>
  </si>
  <si>
    <t>26202</t>
  </si>
  <si>
    <t>Montjoyer</t>
  </si>
  <si>
    <t>26203</t>
  </si>
  <si>
    <t>Montlaur-en-Diois</t>
  </si>
  <si>
    <t>26204</t>
  </si>
  <si>
    <t>Montmaur-en-Diois</t>
  </si>
  <si>
    <t>26205</t>
  </si>
  <si>
    <t>Montmeyran</t>
  </si>
  <si>
    <t>26206</t>
  </si>
  <si>
    <t>Montmiral</t>
  </si>
  <si>
    <t>26207</t>
  </si>
  <si>
    <t>Montoison</t>
  </si>
  <si>
    <t>26208</t>
  </si>
  <si>
    <t>Montpezat-sous-Bauzon</t>
  </si>
  <si>
    <t>07161</t>
  </si>
  <si>
    <t>Montréal</t>
  </si>
  <si>
    <t>07162</t>
  </si>
  <si>
    <t>Montréal-les-Sources</t>
  </si>
  <si>
    <t>26209</t>
  </si>
  <si>
    <t>Montségur-sur-Lauzon</t>
  </si>
  <si>
    <t>26211</t>
  </si>
  <si>
    <t>Montselgues</t>
  </si>
  <si>
    <t>07163</t>
  </si>
  <si>
    <t>Montvendre</t>
  </si>
  <si>
    <t>26212</t>
  </si>
  <si>
    <t>Moras-en-Valloire</t>
  </si>
  <si>
    <t>26213</t>
  </si>
  <si>
    <t>Mornans</t>
  </si>
  <si>
    <t>26214</t>
  </si>
  <si>
    <t>Mours-Saint-Eusèbe</t>
  </si>
  <si>
    <t>26218</t>
  </si>
  <si>
    <t>Mureils</t>
  </si>
  <si>
    <t>26219</t>
  </si>
  <si>
    <t>Nozières</t>
  </si>
  <si>
    <t>07166</t>
  </si>
  <si>
    <t>Nyons</t>
  </si>
  <si>
    <t>26220</t>
  </si>
  <si>
    <t>Omblèze</t>
  </si>
  <si>
    <t>26221</t>
  </si>
  <si>
    <t>Orcinas</t>
  </si>
  <si>
    <t>26222</t>
  </si>
  <si>
    <t>Orgnac-l'Aven</t>
  </si>
  <si>
    <t>07168</t>
  </si>
  <si>
    <t>Oriol-en-Royans</t>
  </si>
  <si>
    <t>26223</t>
  </si>
  <si>
    <t>Ourches</t>
  </si>
  <si>
    <t>26224</t>
  </si>
  <si>
    <t>Ozon</t>
  </si>
  <si>
    <t>07169</t>
  </si>
  <si>
    <t>Pailharès</t>
  </si>
  <si>
    <t>07170</t>
  </si>
  <si>
    <t>Parnans</t>
  </si>
  <si>
    <t>26225</t>
  </si>
  <si>
    <t>Payzac</t>
  </si>
  <si>
    <t>07171</t>
  </si>
  <si>
    <t>Peaugres</t>
  </si>
  <si>
    <t>07172</t>
  </si>
  <si>
    <t>Pelonne</t>
  </si>
  <si>
    <t>26227</t>
  </si>
  <si>
    <t>Pennes-le-Sec</t>
  </si>
  <si>
    <t>26228</t>
  </si>
  <si>
    <t>Péreyres</t>
  </si>
  <si>
    <t>07173</t>
  </si>
  <si>
    <t>Peyraud</t>
  </si>
  <si>
    <t>07174</t>
  </si>
  <si>
    <t>Peyrins</t>
  </si>
  <si>
    <t>26231</t>
  </si>
  <si>
    <t>Peyrus</t>
  </si>
  <si>
    <t>26232</t>
  </si>
  <si>
    <t>Piégon</t>
  </si>
  <si>
    <t>26233</t>
  </si>
  <si>
    <t>Piégros-la-Clastre</t>
  </si>
  <si>
    <t>26234</t>
  </si>
  <si>
    <t>Pierrelatte</t>
  </si>
  <si>
    <t>26235</t>
  </si>
  <si>
    <t>Pierrelongue</t>
  </si>
  <si>
    <t>26236</t>
  </si>
  <si>
    <t>Plaisians</t>
  </si>
  <si>
    <t>26239</t>
  </si>
  <si>
    <t>Plan-de-Baix</t>
  </si>
  <si>
    <t>26240</t>
  </si>
  <si>
    <t>Planzolles</t>
  </si>
  <si>
    <t>07176</t>
  </si>
  <si>
    <t>Plats</t>
  </si>
  <si>
    <t>07177</t>
  </si>
  <si>
    <t>Pommerol</t>
  </si>
  <si>
    <t>26245</t>
  </si>
  <si>
    <t>Ponet-et-Saint-Auban</t>
  </si>
  <si>
    <t>26246</t>
  </si>
  <si>
    <t>Ponsas</t>
  </si>
  <si>
    <t>26247</t>
  </si>
  <si>
    <t>Pont-de-Barret</t>
  </si>
  <si>
    <t>26249</t>
  </si>
  <si>
    <t>Pont-de-l'Isère</t>
  </si>
  <si>
    <t>26250</t>
  </si>
  <si>
    <t>Pont-de-Labeaume</t>
  </si>
  <si>
    <t>07178</t>
  </si>
  <si>
    <t>Pontaix</t>
  </si>
  <si>
    <t>26248</t>
  </si>
  <si>
    <t>Portes-en-Valdaine</t>
  </si>
  <si>
    <t>26251</t>
  </si>
  <si>
    <t>Portes-lès-Valence</t>
  </si>
  <si>
    <t>26252</t>
  </si>
  <si>
    <t>Pourchères</t>
  </si>
  <si>
    <t>07179</t>
  </si>
  <si>
    <t>Poyols</t>
  </si>
  <si>
    <t>26253</t>
  </si>
  <si>
    <t>Pradelle</t>
  </si>
  <si>
    <t>26254</t>
  </si>
  <si>
    <t>Prades</t>
  </si>
  <si>
    <t>07182</t>
  </si>
  <si>
    <t>Pradons</t>
  </si>
  <si>
    <t>07183</t>
  </si>
  <si>
    <t>Pranles</t>
  </si>
  <si>
    <t>07184</t>
  </si>
  <si>
    <t>Préaux</t>
  </si>
  <si>
    <t>07185</t>
  </si>
  <si>
    <t>Privas</t>
  </si>
  <si>
    <t>07186</t>
  </si>
  <si>
    <t>Propiac</t>
  </si>
  <si>
    <t>26256</t>
  </si>
  <si>
    <t>Prunet</t>
  </si>
  <si>
    <t>07187</t>
  </si>
  <si>
    <t>Puy-Saint-Martin</t>
  </si>
  <si>
    <t>26258</t>
  </si>
  <si>
    <t>Puygiron</t>
  </si>
  <si>
    <t>26257</t>
  </si>
  <si>
    <t>Quintenas</t>
  </si>
  <si>
    <t>07188</t>
  </si>
  <si>
    <t>Ratières</t>
  </si>
  <si>
    <t>26259</t>
  </si>
  <si>
    <t>Réauville</t>
  </si>
  <si>
    <t>26261</t>
  </si>
  <si>
    <t>Recoubeau-Jansac</t>
  </si>
  <si>
    <t>26262</t>
  </si>
  <si>
    <t>Reilhanette</t>
  </si>
  <si>
    <t>26263</t>
  </si>
  <si>
    <t>Rémuzat</t>
  </si>
  <si>
    <t>26264</t>
  </si>
  <si>
    <t>Ribes</t>
  </si>
  <si>
    <t>07189</t>
  </si>
  <si>
    <t>Rimon-et-Savel</t>
  </si>
  <si>
    <t>26266</t>
  </si>
  <si>
    <t>Rioms</t>
  </si>
  <si>
    <t>26267</t>
  </si>
  <si>
    <t>Roche-Saint-Secret-Béconne</t>
  </si>
  <si>
    <t>26276</t>
  </si>
  <si>
    <t>Rochebaudin</t>
  </si>
  <si>
    <t>26268</t>
  </si>
  <si>
    <t>Rochebrune</t>
  </si>
  <si>
    <t>26269</t>
  </si>
  <si>
    <t>Rochechinard</t>
  </si>
  <si>
    <t>26270</t>
  </si>
  <si>
    <t>Rochecolombe</t>
  </si>
  <si>
    <t>07190</t>
  </si>
  <si>
    <t>Rochefort-en-Valdaine</t>
  </si>
  <si>
    <t>26272</t>
  </si>
  <si>
    <t>Rochefort-Samson</t>
  </si>
  <si>
    <t>26273</t>
  </si>
  <si>
    <t>Rochefourchat</t>
  </si>
  <si>
    <t>26274</t>
  </si>
  <si>
    <t>Rochegude</t>
  </si>
  <si>
    <t>26275</t>
  </si>
  <si>
    <t>Rochemaure</t>
  </si>
  <si>
    <t>07191</t>
  </si>
  <si>
    <t>Rochepaule</t>
  </si>
  <si>
    <t>07192</t>
  </si>
  <si>
    <t>Rocher</t>
  </si>
  <si>
    <t>07193</t>
  </si>
  <si>
    <t>Rochessauve</t>
  </si>
  <si>
    <t>07194</t>
  </si>
  <si>
    <t>Rocles</t>
  </si>
  <si>
    <t>07196</t>
  </si>
  <si>
    <t>Roiffieux</t>
  </si>
  <si>
    <t>07197</t>
  </si>
  <si>
    <t>Romans-sur-Isère</t>
  </si>
  <si>
    <t>26281</t>
  </si>
  <si>
    <t>Romeyer</t>
  </si>
  <si>
    <t>26282</t>
  </si>
  <si>
    <t>Rompon</t>
  </si>
  <si>
    <t>07198</t>
  </si>
  <si>
    <t>Rosières</t>
  </si>
  <si>
    <t>07199</t>
  </si>
  <si>
    <t>Rottier</t>
  </si>
  <si>
    <t>26283</t>
  </si>
  <si>
    <t>Roussas</t>
  </si>
  <si>
    <t>26284</t>
  </si>
  <si>
    <t>Rousset-les-Vignes</t>
  </si>
  <si>
    <t>26285</t>
  </si>
  <si>
    <t>Roussieux</t>
  </si>
  <si>
    <t>26286</t>
  </si>
  <si>
    <t>Roynac</t>
  </si>
  <si>
    <t>26287</t>
  </si>
  <si>
    <t>Ruoms</t>
  </si>
  <si>
    <t>07201</t>
  </si>
  <si>
    <t>Sablières</t>
  </si>
  <si>
    <t>07202</t>
  </si>
  <si>
    <t>Sagnes-et-Goudoulet</t>
  </si>
  <si>
    <t>07203</t>
  </si>
  <si>
    <t>Sahune</t>
  </si>
  <si>
    <t>26288</t>
  </si>
  <si>
    <t>Saillans</t>
  </si>
  <si>
    <t>26289</t>
  </si>
  <si>
    <t>Saint-Agnan-en-Vercors</t>
  </si>
  <si>
    <t>26290</t>
  </si>
  <si>
    <t>Saint-Agrève</t>
  </si>
  <si>
    <t>07204</t>
  </si>
  <si>
    <t>Saint-Alban-Auriolles</t>
  </si>
  <si>
    <t>07207</t>
  </si>
  <si>
    <t>Saint-Alban-d'Ay</t>
  </si>
  <si>
    <t>07205</t>
  </si>
  <si>
    <t>Saint-Alban-en-Montagne</t>
  </si>
  <si>
    <t>07206</t>
  </si>
  <si>
    <t>Saint-Andéol</t>
  </si>
  <si>
    <t>26291</t>
  </si>
  <si>
    <t>Saint-Andéol-de-Berg</t>
  </si>
  <si>
    <t>07208</t>
  </si>
  <si>
    <t>Saint-Andéol-de-Fourchades</t>
  </si>
  <si>
    <t>07209</t>
  </si>
  <si>
    <t>Saint-Andéol-de-Vals</t>
  </si>
  <si>
    <t>07210</t>
  </si>
  <si>
    <t>Saint-André-de-Cruzières</t>
  </si>
  <si>
    <t>07211</t>
  </si>
  <si>
    <t>Saint-André-en-Vivarais</t>
  </si>
  <si>
    <t>07212</t>
  </si>
  <si>
    <t>Saint-André-Lachamp</t>
  </si>
  <si>
    <t>07213</t>
  </si>
  <si>
    <t>Saint-Apollinaire-de-Rias</t>
  </si>
  <si>
    <t>07214</t>
  </si>
  <si>
    <t>Saint-Auban-sur-l'Ouvèze</t>
  </si>
  <si>
    <t>26292</t>
  </si>
  <si>
    <t>Saint-Avit</t>
  </si>
  <si>
    <t>26293</t>
  </si>
  <si>
    <t>Saint-Bardoux</t>
  </si>
  <si>
    <t>26294</t>
  </si>
  <si>
    <t>Saint-Barthélemy-de-Vals</t>
  </si>
  <si>
    <t>26295</t>
  </si>
  <si>
    <t>Saint-Barthélemy-Grozon</t>
  </si>
  <si>
    <t>07216</t>
  </si>
  <si>
    <t>Saint-Barthélemy-le-Meil</t>
  </si>
  <si>
    <t>07215</t>
  </si>
  <si>
    <t>Saint-Barthélemy-le-Plain</t>
  </si>
  <si>
    <t>07217</t>
  </si>
  <si>
    <t>Saint-Basile</t>
  </si>
  <si>
    <t>07218</t>
  </si>
  <si>
    <t>Saint-Bauzile</t>
  </si>
  <si>
    <t>07219</t>
  </si>
  <si>
    <t>Saint-Benoit-en-Diois</t>
  </si>
  <si>
    <t>26296</t>
  </si>
  <si>
    <t>Saint-Christol</t>
  </si>
  <si>
    <t>07220</t>
  </si>
  <si>
    <t>Saint-Christophe-et-le-Laris</t>
  </si>
  <si>
    <t>26298</t>
  </si>
  <si>
    <t>Saint-Cierge-la-Serre</t>
  </si>
  <si>
    <t>07221</t>
  </si>
  <si>
    <t>Saint-Cierge-sous-le-Cheylard</t>
  </si>
  <si>
    <t>07222</t>
  </si>
  <si>
    <t>Saint-Cirgues-de-Prades</t>
  </si>
  <si>
    <t>07223</t>
  </si>
  <si>
    <t>Saint-Cirgues-en-Montagne</t>
  </si>
  <si>
    <t>07224</t>
  </si>
  <si>
    <t>Saint-Clair</t>
  </si>
  <si>
    <t>07225</t>
  </si>
  <si>
    <t>Saint-Clément</t>
  </si>
  <si>
    <t>07226</t>
  </si>
  <si>
    <t>Saint-Cyr</t>
  </si>
  <si>
    <t>07227</t>
  </si>
  <si>
    <t>Saint-Désirat</t>
  </si>
  <si>
    <t>07228</t>
  </si>
  <si>
    <t>Saint-Didier-sous-Aubenas</t>
  </si>
  <si>
    <t>07229</t>
  </si>
  <si>
    <t>Saint-Dizier-en-Diois</t>
  </si>
  <si>
    <t>26300</t>
  </si>
  <si>
    <t>Saint-Donat-sur-l'Herbasse</t>
  </si>
  <si>
    <t>26301</t>
  </si>
  <si>
    <t>Saint-Étienne-de-Boulogne</t>
  </si>
  <si>
    <t>07230</t>
  </si>
  <si>
    <t>Saint-Étienne-de-Fontbellon</t>
  </si>
  <si>
    <t>07231</t>
  </si>
  <si>
    <t>Saint-Étienne-de-Lugdarès</t>
  </si>
  <si>
    <t>07232</t>
  </si>
  <si>
    <t>Saint-Étienne-de-Serre</t>
  </si>
  <si>
    <t>07233</t>
  </si>
  <si>
    <t>Saint-Étienne-de-Valoux</t>
  </si>
  <si>
    <t>07234</t>
  </si>
  <si>
    <t>Saint-Félicien</t>
  </si>
  <si>
    <t>07236</t>
  </si>
  <si>
    <t>Saint-Ferréol-Trente-Pas</t>
  </si>
  <si>
    <t>26304</t>
  </si>
  <si>
    <t>Saint-Fortunat-sur-Eyrieux</t>
  </si>
  <si>
    <t>07237</t>
  </si>
  <si>
    <t>Saint-Genest-de-Beauzon</t>
  </si>
  <si>
    <t>07238</t>
  </si>
  <si>
    <t>Saint-Genest-Lachamp</t>
  </si>
  <si>
    <t>07239</t>
  </si>
  <si>
    <t>Saint-Georges-les-Bains</t>
  </si>
  <si>
    <t>07240</t>
  </si>
  <si>
    <t>Saint-Germain</t>
  </si>
  <si>
    <t>07241</t>
  </si>
  <si>
    <t>Saint-Gervais-sur-Roubion</t>
  </si>
  <si>
    <t>26305</t>
  </si>
  <si>
    <t>Saint-Gineys-en-Coiron</t>
  </si>
  <si>
    <t>07242</t>
  </si>
  <si>
    <t>Saint-Jacques-d'Atticieux</t>
  </si>
  <si>
    <t>07243</t>
  </si>
  <si>
    <t>Saint-Jean-Chambre</t>
  </si>
  <si>
    <t>07244</t>
  </si>
  <si>
    <t>Saint-Jean-de-Muzols</t>
  </si>
  <si>
    <t>07245</t>
  </si>
  <si>
    <t>Saint-Jean-en-Royans</t>
  </si>
  <si>
    <t>26307</t>
  </si>
  <si>
    <t>Saint-Jean-le-Centenier</t>
  </si>
  <si>
    <t>07247</t>
  </si>
  <si>
    <t>Saint-Jean-Roure</t>
  </si>
  <si>
    <t>07248</t>
  </si>
  <si>
    <t>Saint-Jeure-d'Andaure</t>
  </si>
  <si>
    <t>07249</t>
  </si>
  <si>
    <t>Saint-Jeure-d'Ay</t>
  </si>
  <si>
    <t>07250</t>
  </si>
  <si>
    <t>Saint-Joseph-des-Bancs</t>
  </si>
  <si>
    <t>07251</t>
  </si>
  <si>
    <t>Saint-Julien-d'Intres</t>
  </si>
  <si>
    <t>07103</t>
  </si>
  <si>
    <t>Saint-Julien-du-Gua</t>
  </si>
  <si>
    <t>07253</t>
  </si>
  <si>
    <t>Saint-Julien-du-Serre</t>
  </si>
  <si>
    <t>07254</t>
  </si>
  <si>
    <t>Saint-Julien-en-Quint</t>
  </si>
  <si>
    <t>26308</t>
  </si>
  <si>
    <t>Saint-Julien-en-Saint-Alban</t>
  </si>
  <si>
    <t>07255</t>
  </si>
  <si>
    <t>Saint-Julien-en-Vercors</t>
  </si>
  <si>
    <t>26309</t>
  </si>
  <si>
    <t>Saint-Julien-le-Roux</t>
  </si>
  <si>
    <t>07257</t>
  </si>
  <si>
    <t>Saint-Julien-Vocance</t>
  </si>
  <si>
    <t>07258</t>
  </si>
  <si>
    <t>Saint-Just-d'Ardèche</t>
  </si>
  <si>
    <t>07259</t>
  </si>
  <si>
    <t>Saint-Lager-Bressac</t>
  </si>
  <si>
    <t>07260</t>
  </si>
  <si>
    <t>Saint-Laurent-d'Onay</t>
  </si>
  <si>
    <t>26310</t>
  </si>
  <si>
    <t>Saint-Laurent-du-Pape</t>
  </si>
  <si>
    <t>07261</t>
  </si>
  <si>
    <t>Saint-Laurent-en-Royans</t>
  </si>
  <si>
    <t>26311</t>
  </si>
  <si>
    <t>Saint-Laurent-les-Bains-Laval-d'Aurelle</t>
  </si>
  <si>
    <t>07262</t>
  </si>
  <si>
    <t>Saint-Laurent-sous-Coiron</t>
  </si>
  <si>
    <t>07263</t>
  </si>
  <si>
    <t>Saint-Marcel-d'Ardèche</t>
  </si>
  <si>
    <t>07264</t>
  </si>
  <si>
    <t>Saint-Marcel-lès-Annonay</t>
  </si>
  <si>
    <t>07265</t>
  </si>
  <si>
    <t>Saint-Marcel-lès-Sauzet</t>
  </si>
  <si>
    <t>26312</t>
  </si>
  <si>
    <t>Saint-Marcel-lès-Valence</t>
  </si>
  <si>
    <t>26313</t>
  </si>
  <si>
    <t>Saint-Martial</t>
  </si>
  <si>
    <t>07267</t>
  </si>
  <si>
    <t>Saint-Martin-d'Août</t>
  </si>
  <si>
    <t>26314</t>
  </si>
  <si>
    <t>Saint-Martin-d'Ardèche</t>
  </si>
  <si>
    <t>07268</t>
  </si>
  <si>
    <t>Saint-Martin-de-Valamas</t>
  </si>
  <si>
    <t>07269</t>
  </si>
  <si>
    <t>Saint-Martin-en-Vercors</t>
  </si>
  <si>
    <t>26315</t>
  </si>
  <si>
    <t>Saint-Martin-le-Colonel</t>
  </si>
  <si>
    <t>26316</t>
  </si>
  <si>
    <t>Saint-Martin-sur-Lavezon</t>
  </si>
  <si>
    <t>07270</t>
  </si>
  <si>
    <t>Saint-Maurice-d'Ardèche</t>
  </si>
  <si>
    <t>07272</t>
  </si>
  <si>
    <t>Saint-Maurice-d'Ibie</t>
  </si>
  <si>
    <t>07273</t>
  </si>
  <si>
    <t>Saint-Maurice-en-Chalencon</t>
  </si>
  <si>
    <t>07274</t>
  </si>
  <si>
    <t>Saint-Maurice-sur-Eygues</t>
  </si>
  <si>
    <t>26317</t>
  </si>
  <si>
    <t>Saint-May</t>
  </si>
  <si>
    <t>26318</t>
  </si>
  <si>
    <t>Saint-Mélany</t>
  </si>
  <si>
    <t>07275</t>
  </si>
  <si>
    <t>Saint-Michel-d'Aurance</t>
  </si>
  <si>
    <t>07276</t>
  </si>
  <si>
    <t>Saint-Michel-de-Boulogne</t>
  </si>
  <si>
    <t>07277</t>
  </si>
  <si>
    <t>Saint-Michel-de-Chabrillanoux</t>
  </si>
  <si>
    <t>07278</t>
  </si>
  <si>
    <t>Saint-Michel-sur-Savasse</t>
  </si>
  <si>
    <t>26319</t>
  </si>
  <si>
    <t>Saint-Montan</t>
  </si>
  <si>
    <t>07279</t>
  </si>
  <si>
    <t>Saint-Nazaire-en-Royans</t>
  </si>
  <si>
    <t>26320</t>
  </si>
  <si>
    <t>Saint-Nazaire-le-Désert</t>
  </si>
  <si>
    <t>26321</t>
  </si>
  <si>
    <t>Saint-Pantaléon-les-Vignes</t>
  </si>
  <si>
    <t>26322</t>
  </si>
  <si>
    <t>Saint-Paul-le-Jeune</t>
  </si>
  <si>
    <t>07280</t>
  </si>
  <si>
    <t>Saint-Paul-lès-Romans</t>
  </si>
  <si>
    <t>26323</t>
  </si>
  <si>
    <t>Saint-Paul-Trois-Châteaux</t>
  </si>
  <si>
    <t>26324</t>
  </si>
  <si>
    <t>Saint-Péray</t>
  </si>
  <si>
    <t>07281</t>
  </si>
  <si>
    <t>Saint-Pierre-de-Colombier</t>
  </si>
  <si>
    <t>07282</t>
  </si>
  <si>
    <t>Saint-Pierre-la-Roche</t>
  </si>
  <si>
    <t>07283</t>
  </si>
  <si>
    <t>Saint-Pierre-Saint-Jean</t>
  </si>
  <si>
    <t>07284</t>
  </si>
  <si>
    <t>Saint-Pierre-sur-Doux</t>
  </si>
  <si>
    <t>07285</t>
  </si>
  <si>
    <t>Saint-Pierreville</t>
  </si>
  <si>
    <t>07286</t>
  </si>
  <si>
    <t>Saint-Pons</t>
  </si>
  <si>
    <t>07287</t>
  </si>
  <si>
    <t>Saint-Priest</t>
  </si>
  <si>
    <t>07288</t>
  </si>
  <si>
    <t>Saint-Privat</t>
  </si>
  <si>
    <t>07289</t>
  </si>
  <si>
    <t>Saint-Prix</t>
  </si>
  <si>
    <t>07290</t>
  </si>
  <si>
    <t>Saint-Rambert-d'Albon</t>
  </si>
  <si>
    <t>26325</t>
  </si>
  <si>
    <t>Saint-Remèze</t>
  </si>
  <si>
    <t>07291</t>
  </si>
  <si>
    <t>Saint-Restitut</t>
  </si>
  <si>
    <t>26326</t>
  </si>
  <si>
    <t>Saint-Romain-d'Ay</t>
  </si>
  <si>
    <t>07292</t>
  </si>
  <si>
    <t>Saint-Romain-de-Lerps</t>
  </si>
  <si>
    <t>07293</t>
  </si>
  <si>
    <t>Saint-Roman</t>
  </si>
  <si>
    <t>26327</t>
  </si>
  <si>
    <t>Saint-Sauveur-de-Cruzières</t>
  </si>
  <si>
    <t>07294</t>
  </si>
  <si>
    <t>Saint-Sauveur-de-Montagut</t>
  </si>
  <si>
    <t>07295</t>
  </si>
  <si>
    <t>Saint-Sauveur-en-Diois</t>
  </si>
  <si>
    <t>26328</t>
  </si>
  <si>
    <t>Saint-Sauveur-Gouvernet</t>
  </si>
  <si>
    <t>26329</t>
  </si>
  <si>
    <t>Saint-Sernin</t>
  </si>
  <si>
    <t>07296</t>
  </si>
  <si>
    <t>Saint-Sorlin-en-Valloire</t>
  </si>
  <si>
    <t>26330</t>
  </si>
  <si>
    <t>Saint-Sylvestre</t>
  </si>
  <si>
    <t>07297</t>
  </si>
  <si>
    <t>Saint-Symphorien-de-Mahun</t>
  </si>
  <si>
    <t>07299</t>
  </si>
  <si>
    <t>Saint-Symphorien-sous-Chomérac</t>
  </si>
  <si>
    <t>07298</t>
  </si>
  <si>
    <t>Saint-Thomas-en-Royans</t>
  </si>
  <si>
    <t>26331</t>
  </si>
  <si>
    <t>Saint-Thomé</t>
  </si>
  <si>
    <t>07300</t>
  </si>
  <si>
    <t>Saint-Uze</t>
  </si>
  <si>
    <t>26332</t>
  </si>
  <si>
    <t>Saint-Vallier</t>
  </si>
  <si>
    <t>26333</t>
  </si>
  <si>
    <t>Saint-Victor</t>
  </si>
  <si>
    <t>07301</t>
  </si>
  <si>
    <t>Saint-Vincent-de-Barrès</t>
  </si>
  <si>
    <t>07302</t>
  </si>
  <si>
    <t>Saint-Vincent-de-Durfort</t>
  </si>
  <si>
    <t>07303</t>
  </si>
  <si>
    <t>Saint-Vincent-la-Commanderie</t>
  </si>
  <si>
    <t>26382</t>
  </si>
  <si>
    <t>Sainte-Croix</t>
  </si>
  <si>
    <t>26299</t>
  </si>
  <si>
    <t>Sainte-Eulalie</t>
  </si>
  <si>
    <t>07235</t>
  </si>
  <si>
    <t>Sainte-Eulalie-en-Royans</t>
  </si>
  <si>
    <t>26302</t>
  </si>
  <si>
    <t>Sainte-Euphémie-sur-Ouvèze</t>
  </si>
  <si>
    <t>26303</t>
  </si>
  <si>
    <t>Sainte-Jalle</t>
  </si>
  <si>
    <t>26306</t>
  </si>
  <si>
    <t>Sainte-Marguerite-Lafigère</t>
  </si>
  <si>
    <t>07266</t>
  </si>
  <si>
    <t>Salavas</t>
  </si>
  <si>
    <t>07304</t>
  </si>
  <si>
    <t>Salettes</t>
  </si>
  <si>
    <t>26334</t>
  </si>
  <si>
    <t>Salles-sous-Bois</t>
  </si>
  <si>
    <t>26335</t>
  </si>
  <si>
    <t>Sampzon</t>
  </si>
  <si>
    <t>07306</t>
  </si>
  <si>
    <t>Sanilhac</t>
  </si>
  <si>
    <t>07307</t>
  </si>
  <si>
    <t>Saou</t>
  </si>
  <si>
    <t>26336</t>
  </si>
  <si>
    <t>Sarras</t>
  </si>
  <si>
    <t>07308</t>
  </si>
  <si>
    <t>Satillieu</t>
  </si>
  <si>
    <t>07309</t>
  </si>
  <si>
    <t>Saulce-sur-Rhône</t>
  </si>
  <si>
    <t>26337</t>
  </si>
  <si>
    <t>Sauzet</t>
  </si>
  <si>
    <t>26338</t>
  </si>
  <si>
    <t>Savas</t>
  </si>
  <si>
    <t>07310</t>
  </si>
  <si>
    <t>Savasse</t>
  </si>
  <si>
    <t>26339</t>
  </si>
  <si>
    <t>Sceautres</t>
  </si>
  <si>
    <t>07311</t>
  </si>
  <si>
    <t>Sécheras</t>
  </si>
  <si>
    <t>07312</t>
  </si>
  <si>
    <t>Séderon</t>
  </si>
  <si>
    <t>26340</t>
  </si>
  <si>
    <t>Serrières</t>
  </si>
  <si>
    <t>07313</t>
  </si>
  <si>
    <t>Serves-sur-Rhône</t>
  </si>
  <si>
    <t>26341</t>
  </si>
  <si>
    <t>Silhac</t>
  </si>
  <si>
    <t>07314</t>
  </si>
  <si>
    <t>Solaure en Diois</t>
  </si>
  <si>
    <t>26001</t>
  </si>
  <si>
    <t>Solérieux</t>
  </si>
  <si>
    <t>26342</t>
  </si>
  <si>
    <t>Souspierre</t>
  </si>
  <si>
    <t>26343</t>
  </si>
  <si>
    <t>Soyans</t>
  </si>
  <si>
    <t>26344</t>
  </si>
  <si>
    <t>Soyons</t>
  </si>
  <si>
    <t>07316</t>
  </si>
  <si>
    <t>Suze</t>
  </si>
  <si>
    <t>26346</t>
  </si>
  <si>
    <t>Suze-la-Rousse</t>
  </si>
  <si>
    <t>26345</t>
  </si>
  <si>
    <t>Tain-l'Hermitage</t>
  </si>
  <si>
    <t>26347</t>
  </si>
  <si>
    <t>Talencieux</t>
  </si>
  <si>
    <t>07317</t>
  </si>
  <si>
    <t>Taulignan</t>
  </si>
  <si>
    <t>26348</t>
  </si>
  <si>
    <t>Tauriers</t>
  </si>
  <si>
    <t>07318</t>
  </si>
  <si>
    <t>Tersanne</t>
  </si>
  <si>
    <t>26349</t>
  </si>
  <si>
    <t>Teyssières</t>
  </si>
  <si>
    <t>26350</t>
  </si>
  <si>
    <t>Thorrenc</t>
  </si>
  <si>
    <t>07321</t>
  </si>
  <si>
    <t>Thueyts</t>
  </si>
  <si>
    <t>07322</t>
  </si>
  <si>
    <t>Toulaud</t>
  </si>
  <si>
    <t>07323</t>
  </si>
  <si>
    <t>Tournon-sur-Rhône</t>
  </si>
  <si>
    <t>07324</t>
  </si>
  <si>
    <t>Triors</t>
  </si>
  <si>
    <t>26355</t>
  </si>
  <si>
    <t>Truinas</t>
  </si>
  <si>
    <t>26356</t>
  </si>
  <si>
    <t>Tulette</t>
  </si>
  <si>
    <t>26357</t>
  </si>
  <si>
    <t>Ucel</t>
  </si>
  <si>
    <t>07325</t>
  </si>
  <si>
    <t>Upie</t>
  </si>
  <si>
    <t>26358</t>
  </si>
  <si>
    <t>Usclades-et-Rieutord</t>
  </si>
  <si>
    <t>07326</t>
  </si>
  <si>
    <t>Uzer</t>
  </si>
  <si>
    <t>07327</t>
  </si>
  <si>
    <t>Vachères-en-Quint</t>
  </si>
  <si>
    <t>26359</t>
  </si>
  <si>
    <t>Vagnas</t>
  </si>
  <si>
    <t>07328</t>
  </si>
  <si>
    <t>Val-Maravel</t>
  </si>
  <si>
    <t>26136</t>
  </si>
  <si>
    <t>Valaurie</t>
  </si>
  <si>
    <t>26360</t>
  </si>
  <si>
    <t>Valdrôme</t>
  </si>
  <si>
    <t>26361</t>
  </si>
  <si>
    <t>Valence</t>
  </si>
  <si>
    <t>26362</t>
  </si>
  <si>
    <t>Valgorge</t>
  </si>
  <si>
    <t>07329</t>
  </si>
  <si>
    <t>Valherbasse</t>
  </si>
  <si>
    <t>26210</t>
  </si>
  <si>
    <t>Vallées-d'Antraigues-Asperjoc</t>
  </si>
  <si>
    <t>07011</t>
  </si>
  <si>
    <t>Vallon-Pont-d'Arc</t>
  </si>
  <si>
    <t>07330</t>
  </si>
  <si>
    <t>Valouse</t>
  </si>
  <si>
    <t>26363</t>
  </si>
  <si>
    <t>Vals-les-Bains</t>
  </si>
  <si>
    <t>07331</t>
  </si>
  <si>
    <t>Valvignères</t>
  </si>
  <si>
    <t>07332</t>
  </si>
  <si>
    <t>Vanosc</t>
  </si>
  <si>
    <t>07333</t>
  </si>
  <si>
    <t>Vassieux-en-Vercors</t>
  </si>
  <si>
    <t>26364</t>
  </si>
  <si>
    <t>Vaudevant</t>
  </si>
  <si>
    <t>07335</t>
  </si>
  <si>
    <t>Vaunaveys-la-Rochette</t>
  </si>
  <si>
    <t>26365</t>
  </si>
  <si>
    <t>Venterol</t>
  </si>
  <si>
    <t>26367</t>
  </si>
  <si>
    <t>Vercheny</t>
  </si>
  <si>
    <t>26368</t>
  </si>
  <si>
    <t>Verclause</t>
  </si>
  <si>
    <t>26369</t>
  </si>
  <si>
    <t>Vercoiran</t>
  </si>
  <si>
    <t>26370</t>
  </si>
  <si>
    <t>Vernon</t>
  </si>
  <si>
    <t>07336</t>
  </si>
  <si>
    <t>Vernosc-lès-Annonay</t>
  </si>
  <si>
    <t>07337</t>
  </si>
  <si>
    <t>Vernoux-en-Vivarais</t>
  </si>
  <si>
    <t>07338</t>
  </si>
  <si>
    <t>Véronne</t>
  </si>
  <si>
    <t>26371</t>
  </si>
  <si>
    <t>Vers-sur-Méouge</t>
  </si>
  <si>
    <t>26372</t>
  </si>
  <si>
    <t>Vesc</t>
  </si>
  <si>
    <t>26373</t>
  </si>
  <si>
    <t>Vesseaux</t>
  </si>
  <si>
    <t>07339</t>
  </si>
  <si>
    <t>Veyras</t>
  </si>
  <si>
    <t>07340</t>
  </si>
  <si>
    <t>Villebois-les-Pins</t>
  </si>
  <si>
    <t>26374</t>
  </si>
  <si>
    <t>Villefranche-le-Château</t>
  </si>
  <si>
    <t>26375</t>
  </si>
  <si>
    <t>Villeneuve-de-Berg</t>
  </si>
  <si>
    <t>07341</t>
  </si>
  <si>
    <t>Villeperdrix</t>
  </si>
  <si>
    <t>26376</t>
  </si>
  <si>
    <t>Villevocance</t>
  </si>
  <si>
    <t>07342</t>
  </si>
  <si>
    <t>Vinezac</t>
  </si>
  <si>
    <t>07343</t>
  </si>
  <si>
    <t>Vinsobres</t>
  </si>
  <si>
    <t>26377</t>
  </si>
  <si>
    <t>Vinzieux</t>
  </si>
  <si>
    <t>07344</t>
  </si>
  <si>
    <t>Vion</t>
  </si>
  <si>
    <t>07345</t>
  </si>
  <si>
    <t>Viviers</t>
  </si>
  <si>
    <t>07346</t>
  </si>
  <si>
    <t>Vocance</t>
  </si>
  <si>
    <t>07347</t>
  </si>
  <si>
    <t>Vogüé</t>
  </si>
  <si>
    <t>07348</t>
  </si>
  <si>
    <t>Volvent</t>
  </si>
  <si>
    <t>26378</t>
  </si>
  <si>
    <t>Nouvelle région</t>
  </si>
  <si>
    <t>Information à saisir ou à sélectionner dans un menu déroulant</t>
  </si>
  <si>
    <t>Information calculée automatiquement</t>
  </si>
  <si>
    <t>Paramètres E1C : NE PAS MODIFIER</t>
  </si>
  <si>
    <t>campagne en cours</t>
  </si>
  <si>
    <t>campagne n-1</t>
  </si>
  <si>
    <t>campagne N-2</t>
  </si>
  <si>
    <t>Tournière</t>
  </si>
  <si>
    <t>Parcours enherbés de volailles/porcs (si le piétinement des animaux détruit le couvert)</t>
  </si>
  <si>
    <t>jachères de 5 ans ou moins</t>
  </si>
  <si>
    <t>Total horticulture et pépinière hors sol</t>
  </si>
  <si>
    <t>Surfaces et linéaires réels</t>
  </si>
  <si>
    <t>Surfaces et linéaires à saisir</t>
  </si>
  <si>
    <t>Critère poids des IAE : IAE sur surface de l'exploitation</t>
  </si>
  <si>
    <t>Critère obligatoire : IAE sur terres arables</t>
  </si>
  <si>
    <t>« Autres milieux » linéaires : ruines</t>
  </si>
  <si>
    <t>« Autres milieux » linéaires, hors ruines</t>
  </si>
  <si>
    <t>hectares</t>
  </si>
  <si>
    <t>Critère poids des IAE</t>
  </si>
  <si>
    <t>Part de la surface en IAE</t>
  </si>
  <si>
    <t>Critère diversité des IAE</t>
  </si>
  <si>
    <t>Nombre de types d'IAE (herbager, ligneux, rocheux, aquatique)</t>
  </si>
  <si>
    <t>Bilan de l'item</t>
  </si>
  <si>
    <t>Somme des surfaces des parcelles de taille &lt; 6 ha (hors prairies permanentes)</t>
  </si>
  <si>
    <r>
      <rPr>
        <b/>
        <i/>
        <sz val="11"/>
        <rFont val="Calibri"/>
        <family val="2"/>
        <scheme val="minor"/>
      </rPr>
      <t>Information</t>
    </r>
    <r>
      <rPr>
        <sz val="11"/>
        <color theme="1"/>
        <rFont val="Calibri"/>
        <family val="2"/>
        <scheme val="minor"/>
      </rPr>
      <t xml:space="preserve"> :</t>
    </r>
    <r>
      <rPr>
        <i/>
        <sz val="11"/>
        <color rgb="FFFF0000"/>
        <rFont val="Calibri"/>
        <family val="2"/>
        <scheme val="minor"/>
      </rPr>
      <t xml:space="preserve"> Les mélanges de cultures et les prairies de cinq ans et moins sont prises en compte de la façon suivante : </t>
    </r>
  </si>
  <si>
    <t xml:space="preserve">- chaque tranche de 10 % de la SAU en prairie de 5 ans et moins compte comme une culture ; </t>
  </si>
  <si>
    <t xml:space="preserve">- chaque tranche de 10 % de la SAU en mélange de cultures compte comme une culture. </t>
  </si>
  <si>
    <t>Part des surfaces en prairies permanentes sur la SAU</t>
  </si>
  <si>
    <t>Part des prairies permanentes sur la SAU</t>
  </si>
  <si>
    <t>Espèces élevées (hors abeilles)</t>
  </si>
  <si>
    <t>Note gobale obtenue sur l'indicateur</t>
  </si>
  <si>
    <t>Total des points de l'item</t>
  </si>
  <si>
    <t>Participation à une campagne collective de prospection</t>
  </si>
  <si>
    <t>Surface en horticulture</t>
  </si>
  <si>
    <t>Part de la surface en horticulture</t>
  </si>
  <si>
    <t>surface hors horticulture</t>
  </si>
  <si>
    <t xml:space="preserve">SAU hors horticulture </t>
  </si>
  <si>
    <t>Part de la surface hors horticulture</t>
  </si>
  <si>
    <t>Description du matériel utilisé :</t>
  </si>
  <si>
    <t>Surface couverte pour les vignes</t>
  </si>
  <si>
    <t>Surface couverte pour l'arboriculture et autres cultures pérennes</t>
  </si>
  <si>
    <t xml:space="preserve">Total surface en horticulture-pépinière </t>
  </si>
  <si>
    <t>Part de surface en vignes couverte</t>
  </si>
  <si>
    <t>Part de la surface en arboriculture et autres cultures pérennes couverte</t>
  </si>
  <si>
    <t>Part de la surface en horticulture-pépinière couverte</t>
  </si>
  <si>
    <t>Cultures hors sol hors horticulture</t>
  </si>
  <si>
    <t>Horticulture hors sol</t>
  </si>
  <si>
    <t>Part des surfaces en horticulture hors sol avec un système total</t>
  </si>
  <si>
    <t>Part des surfaces en horticulture hors sol avec un système partiel</t>
  </si>
  <si>
    <t>Volume annuel d’eau d’irrigation utilisé sur les cultures concernées</t>
  </si>
  <si>
    <t>Apport d’azote total par les effluents d’élevage importés (E1.2)</t>
  </si>
  <si>
    <t>Apport d’azote total par les autres engrais organiques importés (E2)</t>
  </si>
  <si>
    <t xml:space="preserve">Apport d’azote total par les engrais minéraux (E3) </t>
  </si>
  <si>
    <t>Sortie d'azote total par les effluents d'élevage exportés (E1.3)</t>
  </si>
  <si>
    <t xml:space="preserve">Azote exporté par les surfaces non fourragères (S1.1) </t>
  </si>
  <si>
    <t>Azote exporté par les surfaces fourragères hors herbe (S1.2)</t>
  </si>
  <si>
    <t>Azote exporté par les surfaces en herbe (prairies) (S1.3)</t>
  </si>
  <si>
    <t>Apport d’azote par les engrais organiques importés (E1)</t>
  </si>
  <si>
    <t xml:space="preserve">Apport d’azote par les aliments achetés (E2.1) </t>
  </si>
  <si>
    <t xml:space="preserve">Apport d’azote par les fourrages achetés (E2.2) </t>
  </si>
  <si>
    <t xml:space="preserve">Apport d’azote par la paille achetée (E2.3) </t>
  </si>
  <si>
    <t>Apport d’azote par les animaux achetés (E3)</t>
  </si>
  <si>
    <t>Apport d'azote par les engrais minéraux (E4)</t>
  </si>
  <si>
    <t>Exportation d’azote par les cultures vendues ou cédées (S2)</t>
  </si>
  <si>
    <t>Exportation d’azote par les effluents d’élevage vendus ou donnés (S1)</t>
  </si>
  <si>
    <t>Exportation d’azote par les animaux vendus (S3)</t>
  </si>
  <si>
    <t>Exportation d’azote par les produits animaux vendus (S4)</t>
  </si>
  <si>
    <t>calcul intermed apprent</t>
  </si>
  <si>
    <t>calcul intermed BGA</t>
  </si>
  <si>
    <t>Les cultures mineures ont-elles été prises en compte dans le calcul du bilan ?</t>
  </si>
  <si>
    <t>Quantité totale d’azote minéral apporté sur l’ensemble de la SAU de l’exploitation en t d’azote</t>
  </si>
  <si>
    <t>Quantité totale d’azote organique apporté sur l’ensemble de la SAU de l’exploitation en t d’azote</t>
  </si>
  <si>
    <t>Saisie des surfaces</t>
  </si>
  <si>
    <t>Total surface cultures principales grandes cultures (y compris blé)</t>
  </si>
  <si>
    <t>Utilisation d'un outil PPF ?</t>
  </si>
  <si>
    <t xml:space="preserve">Protéagineux (pois protéagineux, fève, féverole, lupin…) </t>
  </si>
  <si>
    <t xml:space="preserve">Légumes secs / légumineuses à grain </t>
  </si>
  <si>
    <t xml:space="preserve">Mélanges de cultures contenant des légumineuses, protéagineux ou légumes secs </t>
  </si>
  <si>
    <t xml:space="preserve">Prairies temporaires en légumineuses </t>
  </si>
  <si>
    <t xml:space="preserve">Total SAU hors viticulture, arboriculture et horticulture-pépinière </t>
  </si>
  <si>
    <t>Surface en horticulture équipée de matériels optimisant les apports de fertilisants</t>
  </si>
  <si>
    <t>Total des surfaces en horticulture</t>
  </si>
  <si>
    <t>Système de recyclage total des cultures hors sol</t>
  </si>
  <si>
    <t>Surface en horticulture hors sol</t>
  </si>
  <si>
    <t>Utilisation d’outils de mesure sur les surfaces hors horticulture</t>
  </si>
  <si>
    <t>Utilisation d’outils de mesure sur les surfaces en horticulture</t>
  </si>
  <si>
    <t>Surface en horticulture concernées par l'utilisation d'un outil de mesure</t>
  </si>
  <si>
    <t>Description du ou des matériel(s) utilisé(s) :</t>
  </si>
  <si>
    <t>Nom de la démarche collective</t>
  </si>
  <si>
    <t xml:space="preserve">En revanche, tous les prélèvements sur le milieu doivent bien être pris en compte dans le volume total d'eau prélevé. L'eau prélevée hors période d'étiage pour être stockée dans une retenue collinaire doit donc être comptabilisée dans les prélèvements hors période d'étiage. </t>
  </si>
  <si>
    <t>Quantité de substances actives appliquée</t>
  </si>
  <si>
    <t>Couvert végétal inter-rang</t>
  </si>
  <si>
    <t>Quantité d'azote apportée</t>
  </si>
  <si>
    <t>4 - Légendes</t>
  </si>
  <si>
    <t>jachères noires</t>
  </si>
  <si>
    <r>
      <rPr>
        <b/>
        <i/>
        <sz val="11"/>
        <color theme="1"/>
        <rFont val="Calibri"/>
        <family val="2"/>
        <scheme val="minor"/>
      </rPr>
      <t>Information :</t>
    </r>
    <r>
      <rPr>
        <i/>
        <sz val="11"/>
        <color theme="1"/>
        <rFont val="Calibri"/>
        <family val="2"/>
        <scheme val="minor"/>
      </rPr>
      <t xml:space="preserve"> </t>
    </r>
    <r>
      <rPr>
        <i/>
        <sz val="11"/>
        <color rgb="FFFF0000"/>
        <rFont val="Calibri"/>
        <family val="2"/>
      </rPr>
      <t xml:space="preserve">Pour être prises en compte, les IAE doivent respecter les exigences qualitatives de maintien (haies, bosquets et mares) et d’entretien (arbres – pas de taille et coupe entre le 16/03 et le 15/08). </t>
    </r>
  </si>
  <si>
    <t>Conversion en hectares</t>
  </si>
  <si>
    <r>
      <rPr>
        <b/>
        <i/>
        <sz val="11"/>
        <rFont val="Calibri"/>
        <family val="2"/>
      </rPr>
      <t>Information</t>
    </r>
    <r>
      <rPr>
        <i/>
        <sz val="11"/>
        <color rgb="FFFF0000"/>
        <rFont val="Calibri"/>
        <family val="2"/>
        <scheme val="minor"/>
      </rPr>
      <t xml:space="preserve"> : Sont prises en compte les parcelles et bordures de parcelles n’ayant reçu aucun produit phytosanitaire hors produit de biocontrôle (hormis traitements obligatoires) pendant la campagne évaluée. Ces surfaces non traitées sont repérées sur la base des cahiers d’enregistrement des pratiques. </t>
    </r>
  </si>
  <si>
    <t>1.40 (P70) &lt; IFT</t>
  </si>
  <si>
    <t>IFT &lt;= 1 (P20)</t>
  </si>
  <si>
    <t>Surfaces en horticulture et pépinière</t>
  </si>
  <si>
    <r>
      <rPr>
        <b/>
        <i/>
        <sz val="11"/>
        <rFont val="Calibri"/>
        <family val="2"/>
      </rPr>
      <t>Information participation active</t>
    </r>
    <r>
      <rPr>
        <i/>
        <sz val="11"/>
        <color rgb="FFFF0000"/>
        <rFont val="Calibri"/>
        <family val="2"/>
        <scheme val="minor"/>
      </rPr>
      <t xml:space="preserve"> : Il s’agit d’observer un échantillon représentatif en matière de cépage, de variété, de contexte pédo-climatique et géographique. La surface prise en compte est la surface « représentée » par cet échantillon observé. Les prairies temporaires et permanentes ne sont pas concernées par ce critère : leurs surfaces ne doivent donc pas être prises en compte dans les calculs des ratios. </t>
    </r>
  </si>
  <si>
    <t>surface en horticulture</t>
  </si>
  <si>
    <t>Surface couverte pour l’horticulture-pépinière</t>
  </si>
  <si>
    <t>Apport d’azote total par les effluents produits par l'élevage (E1.1)</t>
  </si>
  <si>
    <t>calcul général</t>
  </si>
  <si>
    <t>calcul spé</t>
  </si>
  <si>
    <t>OTEX</t>
  </si>
  <si>
    <t>BGA</t>
  </si>
  <si>
    <t>Apparent</t>
  </si>
  <si>
    <t>Total points obtenus hors horticulture</t>
  </si>
  <si>
    <t>Total des points obtenus en horticulture</t>
  </si>
  <si>
    <t xml:space="preserve">Note : Seuls les prélèvements directs sur le milieu naturel en période d'étiage sont comptés dans le "volume prélevé en période d'étiage". Par exemple, l’eau prélevée hors période d'étiage pour être stockée dans une retenue collinaire et utilisée pendant la période d’étiage n’est pas à considérer comme un prélèvement pendant la période d’étiage. </t>
  </si>
  <si>
    <t xml:space="preserve">Surfaces concernées possédant : </t>
  </si>
  <si>
    <t>Utilisation de matériels optimisant les apports de fertilisants</t>
  </si>
  <si>
    <t>Nomenclature d'orientation technico-économique des exploitations agricoles</t>
  </si>
  <si>
    <t xml:space="preserve">Source : https://agreste.agriculture.gouv.fr/agreste-web/methodon/N.1/!searchurl/listeTypeMethodon/ </t>
  </si>
  <si>
    <t>Exploitations spécialisées en grandes cultures - céréales et/ou oléoprotéagineux</t>
  </si>
  <si>
    <t>1510</t>
  </si>
  <si>
    <t>Exploitations spécialisées en céréaliculture (autre que le riz) et en culture de plantes oléagineuses et protéagineuses</t>
  </si>
  <si>
    <t>1520</t>
  </si>
  <si>
    <t>Exploitations spécialisées rizicoles</t>
  </si>
  <si>
    <t>1530</t>
  </si>
  <si>
    <t>Exploitations combinant céréales, riz, plantes oléagineuses et protéagineuses</t>
  </si>
  <si>
    <t>Exploitations spécialisées en grandes cultures - autres grandes cultures</t>
  </si>
  <si>
    <t>Exploitations spécialisées en culture de plantes sarclées</t>
  </si>
  <si>
    <t>Exploitations combinant céréales, plantes oléagineuses et protéagineuses et culture de plantes sarclées</t>
  </si>
  <si>
    <t>Exploitations spécialisées en culture de légumes frais de plein champ</t>
  </si>
  <si>
    <t>Exploitations spécialisées en culture de tabac</t>
  </si>
  <si>
    <t>Exploitations avec combinaison de diverses grandes cultures</t>
  </si>
  <si>
    <t>Exploitations spécialisées en maraîchage ou horticulture - Légumes ou champignons</t>
  </si>
  <si>
    <t>Exploitations spécialisées en culture de légumes d'intérieur</t>
  </si>
  <si>
    <t>Exploitations spécialisées en culture de légumes de plein air</t>
  </si>
  <si>
    <t>Exploitations spécialisées dans la culture de champignons</t>
  </si>
  <si>
    <t>Exploitations spécialisées en maraîchage ou horticulture - Fleurs et/ou horticulture diverse</t>
  </si>
  <si>
    <t>Exploitations spécialisées en floriculture et culture de plantes ornementales d'intérieur</t>
  </si>
  <si>
    <t>Exploitations spécialisées en horticulture mixte d'intérieur</t>
  </si>
  <si>
    <t>Exploitations spécialisées en floriculture et culture de plantes ornementales de plein air</t>
  </si>
  <si>
    <t>Exploitations spécialisées en horticulture mixte de plein air</t>
  </si>
  <si>
    <t>Pépinières spécialisées</t>
  </si>
  <si>
    <t>Différents types d'horticulture</t>
  </si>
  <si>
    <t>Exploitations spécialisées en viticulture</t>
  </si>
  <si>
    <t>Exploitations vinicoles spécialisées dans la production de vins de qualité bénéficiant d'une AOP</t>
  </si>
  <si>
    <t>Exploitations vinicoles spécialisées dans la production de vins de qualité bénéficiant d'une IGP</t>
  </si>
  <si>
    <t>Exploitations vinicoles spécialisées dans la production de vins de qualité AOP et IGP</t>
  </si>
  <si>
    <t>Exploitations vinicoles spécialisées dans la production de vins autres que des vins de qualité</t>
  </si>
  <si>
    <t>Exploitations spécialisées dans la production de raisins de table</t>
  </si>
  <si>
    <t>Autres vignobles</t>
  </si>
  <si>
    <t>Exploitations spécialisées en cultures fruitières ou autres cultures permanentes</t>
  </si>
  <si>
    <t>Exploitations fruitières spécialisées (à l'exception des agrumes, des fruits tropicaux et des fruits à coque)</t>
  </si>
  <si>
    <t>Exploitations agrumicoles spécialisées</t>
  </si>
  <si>
    <t>Exploitations spécialisées dans la production de fruits à coque</t>
  </si>
  <si>
    <t>Exploitations spécialisées dans la production de fruits à tropicaux</t>
  </si>
  <si>
    <t>Exploitations spécialisées dans la production de fruits, agrumes, fruits tropicaux et fruits à coque : production mixte</t>
  </si>
  <si>
    <t>Exploitations oléicoles spécialisées</t>
  </si>
  <si>
    <t>Exploitations avec diverses combinaisons de cultures permanentes</t>
  </si>
  <si>
    <t>Exploitations bovines spécialisées - orientation lait</t>
  </si>
  <si>
    <t>Exploitations bovines spécialisées - orientation élevage et viande</t>
  </si>
  <si>
    <t>Exploitations bovines - lait, élevage et viande combinés</t>
  </si>
  <si>
    <t>Exploitations avec ovins et/ou caprins, et/ou autres herbivores</t>
  </si>
  <si>
    <t>Exploitations avec ovis et bovins combinés</t>
  </si>
  <si>
    <t>Exploitations d'équidés et/ou autres herbivores</t>
  </si>
  <si>
    <t>Exploitations spécialisées en porcins et/ou volailles</t>
  </si>
  <si>
    <t>Exploitations spécialisées porcins d'élevage</t>
  </si>
  <si>
    <t>Exploitations spécialisées porcins d'engraissement</t>
  </si>
  <si>
    <t>Exploitations combinant l'élevage et l'engraissement de porcins</t>
  </si>
  <si>
    <t>Exploitations spécialisées poules pondeuses</t>
  </si>
  <si>
    <t>Exploitations spécialisées volailles de chair</t>
  </si>
  <si>
    <t>Exploitations combinant poules pondeuses et volailles de chair</t>
  </si>
  <si>
    <t>Exploitations avec diverses combinaisons de granivores</t>
  </si>
  <si>
    <t>Exploitations de polyélevage : granivores et bovins laitiers combinés</t>
  </si>
  <si>
    <t>Exploitations de polyélevage: granivores et herbivores autres que laitiers</t>
  </si>
  <si>
    <t>Exploitations de polyculture et/ou polyélevage</t>
  </si>
  <si>
    <t>Horticulture et cultures permanentes combinées</t>
  </si>
  <si>
    <t>Exploitations combinant grandes cultures et horticulture</t>
  </si>
  <si>
    <t>Exploitations combinant grandes cultures et vignes</t>
  </si>
  <si>
    <t>Exploitations combinant grandes cultures et cultures permanentes</t>
  </si>
  <si>
    <t>Exploitations de polyculture à orientation grandes cultures</t>
  </si>
  <si>
    <t>Autres exploitations de polyculture</t>
  </si>
  <si>
    <t>Exploitations de polyélevage à orientation laitière</t>
  </si>
  <si>
    <t>Exploitations de polyélevage à orientation herbivores autres que laitiers</t>
  </si>
  <si>
    <t>Exploitations mixtes combinant grandes cultures avec bovins laitiers</t>
  </si>
  <si>
    <t>Exploitations mixtes combinant grandes cultures et granivores</t>
  </si>
  <si>
    <t>Exploitations apicoles</t>
  </si>
  <si>
    <t>Exploitations avec diverses cultures et élevages mixtes</t>
  </si>
  <si>
    <t>Exploitations non classées</t>
  </si>
  <si>
    <t>Type d'exploitation</t>
  </si>
  <si>
    <t>Code</t>
  </si>
  <si>
    <t>Description</t>
  </si>
  <si>
    <t>Productions extérieures :</t>
  </si>
  <si>
    <t xml:space="preserve">Productions couvertes : </t>
  </si>
  <si>
    <t>Version référentiel</t>
  </si>
  <si>
    <t>V1 - 2011</t>
  </si>
  <si>
    <t>V2 - 2013</t>
  </si>
  <si>
    <t>V3 - 2016</t>
  </si>
  <si>
    <t>V4 - 2022</t>
  </si>
  <si>
    <t>Cultures fibres et jachères</t>
  </si>
  <si>
    <t xml:space="preserve">Jachères : </t>
  </si>
  <si>
    <t>Zone de saisie libre :</t>
  </si>
  <si>
    <t>en Ha</t>
  </si>
  <si>
    <r>
      <rPr>
        <b/>
        <i/>
        <sz val="11"/>
        <rFont val="Calibri"/>
        <family val="2"/>
        <scheme val="minor"/>
      </rPr>
      <t xml:space="preserve">Information : </t>
    </r>
    <r>
      <rPr>
        <i/>
        <sz val="11"/>
        <color rgb="FFFF0000"/>
        <rFont val="Calibri"/>
        <family val="2"/>
        <scheme val="minor"/>
      </rPr>
      <t>On tient compte ici de l'ensemble des matériels listés dans l'annexe 7 du plan de contrôle.</t>
    </r>
  </si>
  <si>
    <r>
      <rPr>
        <b/>
        <i/>
        <sz val="11"/>
        <rFont val="Calibri"/>
        <family val="2"/>
      </rPr>
      <t>Information</t>
    </r>
    <r>
      <rPr>
        <i/>
        <sz val="11"/>
        <color rgb="FFFF0000"/>
        <rFont val="Calibri"/>
        <family val="2"/>
        <scheme val="minor"/>
      </rPr>
      <t xml:space="preserve"> : L’item mesure le pourcentage de la surface en inter-rang bénéficiant d’un couvert végétal présent sur l’ensemble de la campagne évaluée. 
Cet item concerne uniquement les cultures de pleine terre.</t>
    </r>
  </si>
  <si>
    <r>
      <rPr>
        <b/>
        <i/>
        <sz val="11"/>
        <rFont val="Calibri"/>
        <family val="2"/>
        <scheme val="minor"/>
      </rPr>
      <t>Information</t>
    </r>
    <r>
      <rPr>
        <i/>
        <sz val="11"/>
        <color rgb="FFFF0000"/>
        <rFont val="Calibri"/>
        <family val="2"/>
        <scheme val="minor"/>
      </rPr>
      <t> : Se référer au plan de contrôle pour la définition des différents postes de bilan.</t>
    </r>
  </si>
  <si>
    <t>Durée réglementaire de couvert à respecter</t>
  </si>
  <si>
    <t xml:space="preserve">L’exploitation respecte-t-elle la durée réglementaire de couvert sur 100 % de la surface concernée ? </t>
  </si>
  <si>
    <t>ZNV</t>
  </si>
  <si>
    <t>ZV</t>
  </si>
  <si>
    <t>100-75</t>
  </si>
  <si>
    <t>Part des surfaces en horticulture concernées par l’utilisation d’un outil de mesure</t>
  </si>
  <si>
    <t>Part de la SAU hors horticulture</t>
  </si>
  <si>
    <t>Part de la SAU en horticulture</t>
  </si>
  <si>
    <t>Part de la SAU en cultures hors sol</t>
  </si>
  <si>
    <t>Date</t>
  </si>
  <si>
    <r>
      <rPr>
        <b/>
        <sz val="11"/>
        <color theme="1"/>
        <rFont val="Calibri"/>
        <family val="2"/>
        <scheme val="minor"/>
      </rPr>
      <t>Note de lecture</t>
    </r>
    <r>
      <rPr>
        <sz val="11"/>
        <color theme="1"/>
        <rFont val="Calibri"/>
        <family val="2"/>
        <scheme val="minor"/>
      </rPr>
      <t> : en Alsace pour l'ensemble des grandes cultures, les valeurs de référence de l'IFT Herbicides sont de 1 (plancher correspondant au 2ème décile) et 1,67 (plafond correspondant au 7ème décile). Ce sont les moyennes des valeurs plancher et plafond des trois années de référence (2011, 2014 et 2017).</t>
    </r>
  </si>
  <si>
    <r>
      <rPr>
        <b/>
        <sz val="11"/>
        <color theme="1"/>
        <rFont val="Calibri"/>
        <family val="2"/>
        <scheme val="minor"/>
      </rPr>
      <t xml:space="preserve">Points de méthode et d'attention </t>
    </r>
    <r>
      <rPr>
        <sz val="11"/>
        <color theme="1"/>
        <rFont val="Calibri"/>
        <family val="2"/>
        <scheme val="minor"/>
      </rPr>
      <t xml:space="preserve">: dans les tableaux, les IFT Herbicides Grandes Cultures tiennent compte de la pomme de terre. Ce sont les mêmes valeurs affichées dans le tableau "Grandes cultures" et le tableau "pommes de terre". </t>
    </r>
  </si>
  <si>
    <t>Participation active à un dispositif de collecte de données d'observation alimentant le bulletin de santé du végétal dans le cadre du réseau national d'épidémio-surveillance, sur :</t>
  </si>
  <si>
    <r>
      <rPr>
        <b/>
        <i/>
        <sz val="11"/>
        <rFont val="Calibri"/>
        <family val="2"/>
      </rPr>
      <t>Information</t>
    </r>
    <r>
      <rPr>
        <i/>
        <sz val="11"/>
        <color rgb="FFFF0000"/>
        <rFont val="Calibri"/>
        <family val="2"/>
        <scheme val="minor"/>
      </rPr>
      <t xml:space="preserve"> : Seules les cultures hors sol sont concernées par cet item.</t>
    </r>
  </si>
  <si>
    <t>Description de ces pratiques :</t>
  </si>
  <si>
    <t>Surface couverte en hectares</t>
  </si>
  <si>
    <t>Part de la SAU en arboriculture et autres cultures pérennes</t>
  </si>
  <si>
    <t>Part de la SAU en horticulture-pépinière</t>
  </si>
  <si>
    <t>Vérification du socle : respect de la durée réglementaire de couvert</t>
  </si>
  <si>
    <t>Qualité biologique du sol</t>
  </si>
  <si>
    <t>Calendrier dates mise à jour tables de scoring</t>
  </si>
  <si>
    <t>Table de scoring</t>
  </si>
  <si>
    <t>Date MAJ</t>
  </si>
  <si>
    <t>Enregistrement des pratiques d'irrigation</t>
  </si>
  <si>
    <t>Utilisation de matériels optimisant les apports d'eau</t>
  </si>
  <si>
    <t>Statut juridique</t>
  </si>
  <si>
    <t>Autres démarches</t>
  </si>
  <si>
    <t>Calcul Bilan Azoté</t>
  </si>
  <si>
    <t>Superficie totale irriguée durant la campagne évaluée</t>
  </si>
  <si>
    <r>
      <rPr>
        <i/>
        <sz val="11"/>
        <color rgb="FFFF0000"/>
        <rFont val="Calibri"/>
        <family val="2"/>
      </rPr>
      <t>Note</t>
    </r>
    <r>
      <rPr>
        <i/>
        <sz val="11"/>
        <color rgb="FFFF0000"/>
        <rFont val="Calibri"/>
        <family val="2"/>
        <scheme val="minor"/>
      </rPr>
      <t>: Ne pas laisser de cellules vides, mettre "0" si aucun manquant</t>
    </r>
  </si>
  <si>
    <r>
      <rPr>
        <b/>
        <i/>
        <sz val="11"/>
        <rFont val="Calibri"/>
        <family val="2"/>
        <scheme val="minor"/>
      </rPr>
      <t>Information :</t>
    </r>
    <r>
      <rPr>
        <i/>
        <sz val="11"/>
        <color rgb="FFFF0000"/>
        <rFont val="Calibri"/>
        <family val="2"/>
        <scheme val="minor"/>
      </rPr>
      <t xml:space="preserve"> Cet item valorise les méthodes et outils de mesure utilisés dans les exploitations pour ajuster au mieux les apports d'eau d'irrigation aux conditions pédo-climatiques et aux besoins des plantes.</t>
    </r>
  </si>
  <si>
    <r>
      <rPr>
        <b/>
        <i/>
        <sz val="11"/>
        <rFont val="Calibri"/>
        <family val="2"/>
        <scheme val="minor"/>
      </rPr>
      <t>Information :</t>
    </r>
    <r>
      <rPr>
        <i/>
        <sz val="11"/>
        <color rgb="FFFF0000"/>
        <rFont val="Calibri"/>
        <family val="2"/>
        <scheme val="minor"/>
      </rPr>
      <t xml:space="preserve"> Cet item valorise les matériels optimisant les apports en eau en fonction de la surface équipée (arrosage maîtrisé, régulation électronique de l'irrigation, récupération des eaux pluviales, micro-irrigation, recyclage des eaux de lavage…) </t>
    </r>
  </si>
  <si>
    <r>
      <rPr>
        <b/>
        <i/>
        <sz val="11"/>
        <rFont val="Calibri"/>
        <family val="2"/>
        <scheme val="minor"/>
      </rPr>
      <t xml:space="preserve">Information : </t>
    </r>
    <r>
      <rPr>
        <i/>
        <sz val="11"/>
        <color rgb="FFFF0000"/>
        <rFont val="Calibri"/>
        <family val="2"/>
        <scheme val="minor"/>
      </rPr>
      <t>Cet item concerne les cultures hors sol de la filière horticulture et pépinière.</t>
    </r>
  </si>
  <si>
    <t>surface en terres arables de l’exploitation inférieure à 10 ha</t>
  </si>
  <si>
    <t>Noms des variétés, races et espèces menacées présentes sur l'exploitation :</t>
  </si>
  <si>
    <t>Mise en place du test bêche de l'Observatoire Participatif des Vers de Terre</t>
  </si>
  <si>
    <r>
      <t xml:space="preserve">Bordures non productives - critère obligatoire </t>
    </r>
    <r>
      <rPr>
        <b/>
        <sz val="11"/>
        <color rgb="FFFF0000"/>
        <rFont val="Calibri"/>
        <family val="2"/>
      </rPr>
      <t>*</t>
    </r>
  </si>
  <si>
    <r>
      <t>Bordures non productives - critère poids des IAE</t>
    </r>
    <r>
      <rPr>
        <b/>
        <sz val="11"/>
        <color rgb="FFFF0000"/>
        <rFont val="Calibri"/>
        <family val="2"/>
      </rPr>
      <t xml:space="preserve"> *</t>
    </r>
    <r>
      <rPr>
        <b/>
        <sz val="11"/>
        <color rgb="FFFF0000"/>
        <rFont val="Calibri"/>
        <family val="2"/>
        <scheme val="minor"/>
      </rPr>
      <t>*</t>
    </r>
  </si>
  <si>
    <r>
      <rPr>
        <b/>
        <i/>
        <sz val="11"/>
        <color rgb="FFFF0000"/>
        <rFont val="Calibri"/>
        <family val="2"/>
      </rPr>
      <t>*</t>
    </r>
    <r>
      <rPr>
        <i/>
        <sz val="11"/>
        <color theme="1"/>
        <rFont val="Calibri"/>
        <family val="2"/>
        <scheme val="minor"/>
      </rPr>
      <t xml:space="preserve"> Critères : Lorsqu'elle est mise en place en bordure de forêt, la bande doit avoir une largeur minimale de 1 m ; dans tous les autres cas, elle doit avoir une largeur minimale de 5 m.</t>
    </r>
  </si>
  <si>
    <r>
      <rPr>
        <i/>
        <sz val="11"/>
        <color rgb="FFFF0000"/>
        <rFont val="Calibri"/>
        <family val="2"/>
        <scheme val="minor"/>
      </rPr>
      <t>**</t>
    </r>
    <r>
      <rPr>
        <sz val="11"/>
        <color theme="1"/>
        <rFont val="Calibri"/>
        <family val="2"/>
        <scheme val="minor"/>
      </rPr>
      <t xml:space="preserve"> </t>
    </r>
    <r>
      <rPr>
        <i/>
        <sz val="11"/>
        <color theme="1"/>
        <rFont val="Calibri"/>
        <family val="2"/>
      </rPr>
      <t>Critères : Lorsqu'elle est mise en place en bordure de forêt et en bordure de champ, la bande doit avoir une largeur minimale de 1 m ; dans tous les autres cas, elle doit avoir une largeur minimale de 5 m.</t>
    </r>
  </si>
  <si>
    <r>
      <t xml:space="preserve">Autres surfaces de SAU non traitées pendant la campagne </t>
    </r>
    <r>
      <rPr>
        <sz val="11"/>
        <color rgb="FFFF0000"/>
        <rFont val="Calibri"/>
        <family val="2"/>
        <scheme val="minor"/>
      </rPr>
      <t xml:space="preserve">** </t>
    </r>
  </si>
  <si>
    <r>
      <t xml:space="preserve">Surfaces réelles d’IAE incluses dans la SAU </t>
    </r>
    <r>
      <rPr>
        <sz val="11"/>
        <color rgb="FFFF0000"/>
        <rFont val="Calibri"/>
        <family val="2"/>
        <scheme val="minor"/>
      </rPr>
      <t>*</t>
    </r>
  </si>
  <si>
    <r>
      <t xml:space="preserve">* </t>
    </r>
    <r>
      <rPr>
        <i/>
        <sz val="11"/>
        <rFont val="Calibri"/>
        <family val="2"/>
        <scheme val="minor"/>
      </rPr>
      <t xml:space="preserve">Les IAE à prendre en compte ici sont les IAE dont la surface d’emprise réelle est en deçà du seuil leur permettant de les assimiler à la SAU (haie, fossé, bordures... - cf. liste dans le plan de contrôle).
</t>
    </r>
    <r>
      <rPr>
        <i/>
        <sz val="11"/>
        <color rgb="FFFF0000"/>
        <rFont val="Calibri"/>
        <family val="2"/>
        <scheme val="minor"/>
      </rPr>
      <t>**</t>
    </r>
    <r>
      <rPr>
        <i/>
        <sz val="11"/>
        <rFont val="Calibri"/>
        <family val="2"/>
        <scheme val="minor"/>
      </rPr>
      <t xml:space="preserve"> Y compris les IAE, incluses dans la SAU, dont la surface d’emprise n’est pas plafonnée pour les assimiler à la SAU (jachères, alignements d'arbres, arbres isolés... - cf. liste dans le plan de contrôle)</t>
    </r>
  </si>
  <si>
    <t>Description des matériels et méthodes utilisés :</t>
  </si>
  <si>
    <t>Part de la surface concernée légumes, fleurs et fruits hors arboriculture</t>
  </si>
  <si>
    <t>Part de la surface concernée par PPF</t>
  </si>
  <si>
    <t>Part de la surface concernée par PPF Aj</t>
  </si>
  <si>
    <t>Part de la surface concernée par PPF Aj et ODP</t>
  </si>
  <si>
    <t>Cultures mineures : part de la surface concernée par PPF Aj et ODP</t>
  </si>
  <si>
    <t>Autres surfaces non fertilisées pendant la campagne évaluée</t>
  </si>
  <si>
    <t>Total surface non fertilisée</t>
  </si>
  <si>
    <t>Surface des légumineuses en inter-rang (sans destruction chimique)</t>
  </si>
  <si>
    <t>Couverture globale de la surface</t>
  </si>
  <si>
    <t>Nombre de semaines de couvert (y compris durée réglementaire)</t>
  </si>
  <si>
    <t>Couvert végétal inter-rang en viticulture, arboriculture et horticulture-pépinière</t>
  </si>
  <si>
    <t>Part de la SAU en vignes</t>
  </si>
  <si>
    <t xml:space="preserve">* Note : </t>
  </si>
  <si>
    <t>ET ayant une superficie supérieure à 50 ares, sauf si elle couvre l’intégralité d’une surface qui n’est pas adjacente à une autre surface de prairie ou pâturage permanent.</t>
  </si>
  <si>
    <t>ET dont limites correspondent à des ruptures franches de milieu</t>
  </si>
  <si>
    <t>ET couvrant une surface codée en prairies et pâturages permanents</t>
  </si>
  <si>
    <t xml:space="preserve">ET affectée d’un % (par l’opérateur) précisant la part d’éléments non admissibles </t>
  </si>
  <si>
    <t>Surface concernée en Ha</t>
  </si>
  <si>
    <t>NOTATION EN COURS</t>
  </si>
  <si>
    <t>ANCIENNE NOTATION</t>
  </si>
  <si>
    <r>
      <rPr>
        <b/>
        <i/>
        <sz val="11"/>
        <color theme="1"/>
        <rFont val="Calibri"/>
        <family val="2"/>
      </rPr>
      <t>Source</t>
    </r>
    <r>
      <rPr>
        <i/>
        <sz val="11"/>
        <color theme="1"/>
        <rFont val="Calibri"/>
        <family val="2"/>
        <scheme val="minor"/>
      </rPr>
      <t xml:space="preserve"> : </t>
    </r>
  </si>
  <si>
    <r>
      <rPr>
        <b/>
        <sz val="8.8000000000000007"/>
        <color theme="1"/>
        <rFont val="Calibri"/>
        <family val="2"/>
      </rPr>
      <t>Source</t>
    </r>
    <r>
      <rPr>
        <sz val="11"/>
        <color theme="1"/>
        <rFont val="Calibri"/>
        <family val="2"/>
        <scheme val="minor"/>
      </rPr>
      <t xml:space="preserve"> : </t>
    </r>
  </si>
  <si>
    <t>SYNTHÈSE</t>
  </si>
  <si>
    <t>Nombre de variétés végétales menacées cultivées</t>
  </si>
  <si>
    <t>Nombre de races animales menacées élevées</t>
  </si>
  <si>
    <t>Nombre de points obtenus pour les variétés végétales menacées cultivées</t>
  </si>
  <si>
    <t>Nombre points obtenus pour les races animales menacées élevées</t>
  </si>
  <si>
    <t>Analyse microbiologique des sols en laboratoire</t>
  </si>
  <si>
    <r>
      <rPr>
        <b/>
        <i/>
        <sz val="11"/>
        <rFont val="Calibri"/>
        <family val="2"/>
      </rPr>
      <t xml:space="preserve">Information </t>
    </r>
    <r>
      <rPr>
        <i/>
        <sz val="11"/>
        <rFont val="Calibri"/>
        <family val="2"/>
        <scheme val="minor"/>
      </rPr>
      <t>:</t>
    </r>
    <r>
      <rPr>
        <i/>
        <sz val="11"/>
        <color rgb="FFFF0000"/>
        <rFont val="Calibri"/>
        <family val="2"/>
        <scheme val="minor"/>
      </rPr>
      <t xml:space="preserve"> Cet item concerne la filière horticulture et pépinière.</t>
    </r>
  </si>
  <si>
    <r>
      <rPr>
        <b/>
        <i/>
        <sz val="11"/>
        <rFont val="Calibri"/>
        <family val="2"/>
      </rPr>
      <t xml:space="preserve">Information </t>
    </r>
    <r>
      <rPr>
        <i/>
        <sz val="11"/>
        <rFont val="Calibri"/>
        <family val="2"/>
        <scheme val="minor"/>
      </rPr>
      <t>:</t>
    </r>
    <r>
      <rPr>
        <i/>
        <sz val="11"/>
        <color rgb="FFFF0000"/>
        <rFont val="Calibri"/>
        <family val="2"/>
        <scheme val="minor"/>
      </rPr>
      <t xml:space="preserve"> Les surfaces concernées sont les surfaces en cultures hors sol.</t>
    </r>
  </si>
  <si>
    <t>Surface irriguée avec des matériels optimisant les apports d'eau</t>
  </si>
  <si>
    <r>
      <rPr>
        <b/>
        <i/>
        <sz val="11"/>
        <rFont val="Calibri"/>
        <family val="2"/>
      </rPr>
      <t xml:space="preserve">Information </t>
    </r>
    <r>
      <rPr>
        <i/>
        <sz val="11"/>
        <rFont val="Calibri"/>
        <family val="2"/>
        <scheme val="minor"/>
      </rPr>
      <t>:</t>
    </r>
    <r>
      <rPr>
        <i/>
        <sz val="11"/>
        <color rgb="FFFF0000"/>
        <rFont val="Calibri"/>
        <family val="2"/>
        <scheme val="minor"/>
      </rPr>
      <t xml:space="preserve"> Cet item est applicable aux cultures de pleine terre.</t>
    </r>
  </si>
  <si>
    <t>Nombre de campagnes concernées</t>
  </si>
  <si>
    <r>
      <t xml:space="preserve">Utilisation de produits phytosanitaires classés </t>
    </r>
    <r>
      <rPr>
        <b/>
        <sz val="11"/>
        <color theme="1"/>
        <rFont val="Calibri"/>
        <family val="2"/>
      </rPr>
      <t>CMR1</t>
    </r>
  </si>
  <si>
    <t>Part des eaux d'irrigation recyclée pour cultures hors sol hors horticulture</t>
  </si>
  <si>
    <r>
      <rPr>
        <b/>
        <sz val="11"/>
        <color theme="1"/>
        <rFont val="Calibri"/>
        <family val="2"/>
        <scheme val="minor"/>
      </rPr>
      <t>Note de lecture </t>
    </r>
    <r>
      <rPr>
        <sz val="11"/>
        <color theme="1"/>
        <rFont val="Calibri"/>
        <family val="2"/>
        <scheme val="minor"/>
      </rPr>
      <t xml:space="preserve">: dans le bassin viticole du Bordelais, les valeurs de référence de l'IFT herbicides sont de 0,0 (plancher correspondant au 2e décile) et 0,6 (plafond correspondant au 7e décile). Ce sont respectivement les moyennes des valeurs plancher et plafond des trois années de référence (2013, 2016 et 2019). </t>
    </r>
    <r>
      <rPr>
        <b/>
        <sz val="11"/>
        <color theme="1"/>
        <rFont val="Calibri"/>
        <family val="2"/>
      </rPr>
      <t/>
    </r>
  </si>
  <si>
    <r>
      <rPr>
        <b/>
        <sz val="11"/>
        <color theme="1"/>
        <rFont val="Calibri"/>
        <family val="2"/>
      </rPr>
      <t>Source</t>
    </r>
    <r>
      <rPr>
        <sz val="11"/>
        <color theme="1"/>
        <rFont val="Calibri"/>
        <family val="2"/>
        <scheme val="minor"/>
      </rPr>
      <t> : SSP – Agreste : enquêtes sur les pratiques culturales en viticulture en 2013 et en 2019 et sur les pratiques phytosanitaires en 2016</t>
    </r>
  </si>
  <si>
    <r>
      <rPr>
        <b/>
        <sz val="11"/>
        <color theme="1"/>
        <rFont val="Calibri"/>
        <family val="2"/>
      </rPr>
      <t>Source</t>
    </r>
    <r>
      <rPr>
        <sz val="11"/>
        <color theme="1"/>
        <rFont val="Calibri"/>
        <family val="2"/>
        <scheme val="minor"/>
      </rPr>
      <t xml:space="preserve"> : SSP – Agreste, enquêtes sur les pratiques culturales en arboriculture en 2015, et sur les pratiques phytosanitaires en 2012 et 2018</t>
    </r>
  </si>
  <si>
    <r>
      <rPr>
        <b/>
        <sz val="11"/>
        <color theme="1"/>
        <rFont val="Calibri"/>
        <family val="2"/>
      </rPr>
      <t>Note de lecture</t>
    </r>
    <r>
      <rPr>
        <sz val="11"/>
        <color theme="1"/>
        <rFont val="Calibri"/>
        <family val="2"/>
        <scheme val="minor"/>
      </rPr>
      <t xml:space="preserve"> : En région Centre, les valeurs de référence de l'IFT herbicides pour la culture de cerisier sont de 0,14 (plancher correspondant au 2e décile) et 0,36 (plafond correspondant au 7e décile). Ce sont respectivement les moyennes des valeurs plancher et plafond des trois années de référence (2012, 2015 et 2018). </t>
    </r>
  </si>
  <si>
    <r>
      <rPr>
        <b/>
        <sz val="11"/>
        <color theme="1"/>
        <rFont val="Calibri"/>
        <family val="2"/>
        <scheme val="minor"/>
      </rPr>
      <t>Points de méthode et d'attention :</t>
    </r>
    <r>
      <rPr>
        <sz val="11"/>
        <color theme="1"/>
        <rFont val="Calibri"/>
        <family val="2"/>
        <scheme val="minor"/>
      </rPr>
      <t xml:space="preserve"> 
Pour les espèces non couvertes par les enquêtes pratiques culturales, la règle de décision retenue en 2022 est la suivante : 
- Lorsque </t>
    </r>
    <r>
      <rPr>
        <u/>
        <sz val="11"/>
        <color theme="1"/>
        <rFont val="Calibri"/>
        <family val="2"/>
        <scheme val="minor"/>
      </rPr>
      <t>dans une région en métropole</t>
    </r>
    <r>
      <rPr>
        <sz val="11"/>
        <color theme="1"/>
        <rFont val="Calibri"/>
        <family val="2"/>
        <scheme val="minor"/>
      </rPr>
      <t xml:space="preserve"> une espèce n’est pas couverte par les enquêtes pratiques culturales : s’il s’agit d’un agrume, la valeur « clémentinier » est attribuée ; s’il s’agit d’un autre fruit, la valeur « prunier » est attribué. Il s'agit du fruit présent dans le plus grand nombre de régions et qui est associé à une valeur « intermédiaire » d’IFT (i.e. ce n’est pas le fruit avec les plus faibles IFT, ni le fruit avec les plus forts IFT). 
Si la valeur de référence régionale « clémentinier » ou « prunier » n’est pas disponible, on prend alors la valeur nationale correspondante. 
- En </t>
    </r>
    <r>
      <rPr>
        <u/>
        <sz val="11"/>
        <color theme="1"/>
        <rFont val="Calibri"/>
        <family val="2"/>
        <scheme val="minor"/>
      </rPr>
      <t>Martinique et Guadeloupe,</t>
    </r>
    <r>
      <rPr>
        <sz val="11"/>
        <color theme="1"/>
        <rFont val="Calibri"/>
        <family val="2"/>
        <scheme val="minor"/>
      </rPr>
      <t xml:space="preserve"> l’ensemble des fruits prennent la valeur de la banane et en </t>
    </r>
    <r>
      <rPr>
        <u/>
        <sz val="11"/>
        <color theme="1"/>
        <rFont val="Calibri"/>
        <family val="2"/>
        <scheme val="minor"/>
      </rPr>
      <t>Guyane</t>
    </r>
    <r>
      <rPr>
        <sz val="11"/>
        <color theme="1"/>
        <rFont val="Calibri"/>
        <family val="2"/>
        <scheme val="minor"/>
      </rPr>
      <t xml:space="preserve">, l’ensemble des fruits prennent la valeur des agrumes (ce sont les seuls fruits enquêtés localement).   </t>
    </r>
  </si>
  <si>
    <r>
      <rPr>
        <b/>
        <sz val="11"/>
        <color theme="1"/>
        <rFont val="Calibri"/>
        <family val="2"/>
        <scheme val="minor"/>
      </rPr>
      <t xml:space="preserve">Points de méthode et d'attention </t>
    </r>
    <r>
      <rPr>
        <sz val="11"/>
        <color theme="1"/>
        <rFont val="Calibri"/>
        <family val="2"/>
        <scheme val="minor"/>
      </rPr>
      <t xml:space="preserve">: 
- Lorsqu'un bassin des enquêtes pratiques culturales </t>
    </r>
    <r>
      <rPr>
        <u/>
        <sz val="11"/>
        <color theme="1"/>
        <rFont val="Calibri"/>
        <family val="2"/>
        <scheme val="minor"/>
      </rPr>
      <t>n'a pas été enquêté une année</t>
    </r>
    <r>
      <rPr>
        <sz val="11"/>
        <color theme="1"/>
        <rFont val="Calibri"/>
        <family val="2"/>
        <scheme val="minor"/>
      </rPr>
      <t xml:space="preserve">, lui ont été attribuées pour cette année-là les valeurs du grand bassin FranceAgriMer d'appartenance et, à défaut, les valeurs nationales. 
C'est le cas des bassins Bugey Savoie (en 2013) et Jura (en 2013 et 2016) qui appartiennent au grand bassin Bourgogne-Beaujolais-Savoie-Jura. C'est aussi le cas du bassin de Corse dont les valeurs en 2013 sont issues de la distribution nationale.
- Lorsqu'un bassin </t>
    </r>
    <r>
      <rPr>
        <u/>
        <sz val="11"/>
        <color theme="1"/>
        <rFont val="Calibri"/>
        <family val="2"/>
        <scheme val="minor"/>
      </rPr>
      <t>n'est pas enquêté</t>
    </r>
    <r>
      <rPr>
        <sz val="11"/>
        <color theme="1"/>
        <rFont val="Calibri"/>
        <family val="2"/>
        <scheme val="minor"/>
      </rPr>
      <t xml:space="preserve">, lui ont été attribuées les valeurs du grand bassin FranceAgriMer d'appartenance ("Autres zones viticoles - Alsace-Est", "Autres zones viticoles-Bourgogne-Beaujolais-Savoie-Jura", "Autres zones viticoles - Champagne", "Autres zones viticoles Vallée du Rhône-Provence", "Autres zones viticoles - Sud-Ouest, "Autres zones viticoles Val de Loire-Centre") et, à défaut, les valeurs nationales ("Autres zones viticoles"). 
- Les valeurs attribuées au </t>
    </r>
    <r>
      <rPr>
        <u/>
        <sz val="11"/>
        <color theme="1"/>
        <rFont val="Calibri"/>
        <family val="2"/>
        <scheme val="minor"/>
      </rPr>
      <t>bassin viticole "Pyrénées-Orientales"</t>
    </r>
    <r>
      <rPr>
        <sz val="11"/>
        <color theme="1"/>
        <rFont val="Calibri"/>
        <family val="2"/>
        <scheme val="minor"/>
      </rPr>
      <t xml:space="preserve"> correspondent aux valeurs du grand bassin viticole FranceAgriMer "Languedoc-Roussillon".</t>
    </r>
  </si>
  <si>
    <r>
      <t xml:space="preserve">Utilisation de produits herbicides classés </t>
    </r>
    <r>
      <rPr>
        <b/>
        <sz val="11"/>
        <color theme="1"/>
        <rFont val="Calibri"/>
        <family val="2"/>
      </rPr>
      <t>CMR2</t>
    </r>
  </si>
  <si>
    <r>
      <t xml:space="preserve">Utilisation de produits non herbicides classés </t>
    </r>
    <r>
      <rPr>
        <b/>
        <sz val="11"/>
        <color theme="1"/>
        <rFont val="Calibri"/>
        <family val="2"/>
      </rPr>
      <t>CMR2</t>
    </r>
  </si>
  <si>
    <t>Superficie totale irrigable</t>
  </si>
  <si>
    <t>Part de la SAU hors cultures pérennes localisée en zone vulnérable (en %)</t>
  </si>
  <si>
    <t>Surfaces localisées en zone vulnérable</t>
  </si>
  <si>
    <t>Surfaces localisées hors zone vulnérable</t>
  </si>
  <si>
    <t>Se référer au PAN et au PAR le cas échéant</t>
  </si>
  <si>
    <t>6 semaines</t>
  </si>
  <si>
    <t>Surface totale concernée en hectares</t>
  </si>
  <si>
    <t>Part de la surface couverte hors vignes, arboriculture et horticulture-pépinière en zone vulnérable</t>
  </si>
  <si>
    <t>Part de la surface couverte hors vignes, arboriculture et horticulture-pépinière hors zone vulnérable</t>
  </si>
  <si>
    <t>Part de la SAU hors vignes, arboriculture et horticulture-pépinière en zone vulnérable</t>
  </si>
  <si>
    <t>Part de la SAU hors vignes, arboriculture et horticulture-pépinière hors zone vulnérable</t>
  </si>
  <si>
    <t>SUIVI DES MODIFICATIONS APPORTÉES À LA GRILLE D'AUDIT</t>
  </si>
  <si>
    <t>Version</t>
  </si>
  <si>
    <t>Modifications apportées</t>
  </si>
  <si>
    <t>v1.00</t>
  </si>
  <si>
    <t>v1.01</t>
  </si>
  <si>
    <t>v1.02</t>
  </si>
  <si>
    <t>Correction du bassin viticole pour les départements du Languedoc-Roussillon (impact sur les IFT de références).</t>
  </si>
  <si>
    <t xml:space="preserve">Pour les surfaces hors cultures pérennes, distinction des cas pour les surfaces en zone vulnérable et les surfaces hors zone vulnérable, pour pouvoir prendre en compte les particulatrités des deux types de parcelles pour les exploitations à cheval sur les deux zones. Suppression de la question "Localisation en zone vulnérable" dans l'onglet Identification. </t>
  </si>
  <si>
    <r>
      <rPr>
        <b/>
        <i/>
        <sz val="11"/>
        <rFont val="Calibri"/>
        <family val="2"/>
      </rPr>
      <t xml:space="preserve">Information </t>
    </r>
    <r>
      <rPr>
        <i/>
        <sz val="11"/>
        <rFont val="Calibri"/>
        <family val="2"/>
        <scheme val="minor"/>
      </rPr>
      <t>:</t>
    </r>
    <r>
      <rPr>
        <i/>
        <sz val="11"/>
        <color rgb="FFFF0000"/>
        <rFont val="Calibri"/>
        <family val="2"/>
        <scheme val="minor"/>
      </rPr>
      <t xml:space="preserve"> Cet item concerne les cultures de pleine terre. </t>
    </r>
  </si>
  <si>
    <t>v1.03</t>
  </si>
  <si>
    <t xml:space="preserve">Correction du calcul de la surface en ligne 283 : "Total SAU hors viticulture, arboriculture et horticulture-pépinière" en enlevant les surfaces hors sol. </t>
  </si>
  <si>
    <t>BIODIVERSITÉ</t>
  </si>
  <si>
    <t>CObl_Ratio</t>
  </si>
  <si>
    <t>CPds_Ratio</t>
  </si>
  <si>
    <t>Note globale</t>
  </si>
  <si>
    <t>CPds_Haie</t>
  </si>
  <si>
    <t>CPds_Alignement arbres</t>
  </si>
  <si>
    <t>CPds_Arbre isolé</t>
  </si>
  <si>
    <t>CPds_Bosquets</t>
  </si>
  <si>
    <t>CPds_Mare</t>
  </si>
  <si>
    <t>CPds_Fossé</t>
  </si>
  <si>
    <t>CObl_Expl. concernée</t>
  </si>
  <si>
    <t>CPds_Bordures</t>
  </si>
  <si>
    <t>CPds_Jachère</t>
  </si>
  <si>
    <t>CPds_J. mellifère</t>
  </si>
  <si>
    <t>CPds_Zones humides</t>
  </si>
  <si>
    <t>CPds_Verger haute-tige</t>
  </si>
  <si>
    <t>CPds_Bandes intra-parcellaires</t>
  </si>
  <si>
    <t>CPds_Zone Natura 2000</t>
  </si>
  <si>
    <t>CPds_Zones en défens</t>
  </si>
  <si>
    <t>CPds_Autres surfaciques</t>
  </si>
  <si>
    <t>CPds_Autres ruines</t>
  </si>
  <si>
    <t>CPds_Autres linéaires</t>
  </si>
  <si>
    <t>Surfaces &lt; 6ha</t>
  </si>
  <si>
    <t>Surfaces PP</t>
  </si>
  <si>
    <t>Note</t>
  </si>
  <si>
    <t>Nb total</t>
  </si>
  <si>
    <t>Nb espèces animales</t>
  </si>
  <si>
    <t>Part PP/SAU</t>
  </si>
  <si>
    <t>Nb ruches</t>
  </si>
  <si>
    <t>Test-bêche</t>
  </si>
  <si>
    <t>Analyse microbio</t>
  </si>
  <si>
    <t>7. Variété ou race menacée</t>
  </si>
  <si>
    <t>8. Qualité bio du sol</t>
  </si>
  <si>
    <t>Nb variétés végétales</t>
  </si>
  <si>
    <t>6. Présence de ruches</t>
  </si>
  <si>
    <t>5. Nb espèces animales</t>
  </si>
  <si>
    <t>4. Nb espèces végétales</t>
  </si>
  <si>
    <t>3. Poids culture principale</t>
  </si>
  <si>
    <t>2. Taille parcelles</t>
  </si>
  <si>
    <t>1. Part de la surface de l'exploitation en IAE</t>
  </si>
  <si>
    <t>STRATÉGIE PHYTOSANITAIRE</t>
  </si>
  <si>
    <t>1. CMR</t>
  </si>
  <si>
    <t>Produits CMR1</t>
  </si>
  <si>
    <t>Produits herbicides CMR2</t>
  </si>
  <si>
    <t>Produits hors herbicides CMR2</t>
  </si>
  <si>
    <t>2. Surfaces non traitées</t>
  </si>
  <si>
    <t>Surfaces IAE</t>
  </si>
  <si>
    <t>Autres surfaces</t>
  </si>
  <si>
    <t>3. IFT</t>
  </si>
  <si>
    <t>IFTexp_GCH</t>
  </si>
  <si>
    <t>IFTexp_GCHH</t>
  </si>
  <si>
    <t>IFTexp_PdTH</t>
  </si>
  <si>
    <t>IFTexp_PdTHH</t>
  </si>
  <si>
    <t>IFTexp_VH</t>
  </si>
  <si>
    <t>IFTexp_VHH</t>
  </si>
  <si>
    <t>IFTexp_AH</t>
  </si>
  <si>
    <t>IFTexp_AHH</t>
  </si>
  <si>
    <t>Note_GCH</t>
  </si>
  <si>
    <t>Note_GCHH</t>
  </si>
  <si>
    <t>Note_VH</t>
  </si>
  <si>
    <t>Note_VHH</t>
  </si>
  <si>
    <t>Note_AH</t>
  </si>
  <si>
    <t>Note_AHH</t>
  </si>
  <si>
    <t>Note finale</t>
  </si>
  <si>
    <t>Notefinale</t>
  </si>
  <si>
    <t>5. Surveillance active</t>
  </si>
  <si>
    <t>Critère1</t>
  </si>
  <si>
    <t>Critère2</t>
  </si>
  <si>
    <t>Critère3</t>
  </si>
  <si>
    <t>Note_C1</t>
  </si>
  <si>
    <t>Note_C2</t>
  </si>
  <si>
    <t>Note_C3</t>
  </si>
  <si>
    <t>6. Utilisation de méthodes alternatives</t>
  </si>
  <si>
    <t>Note hors horticulture</t>
  </si>
  <si>
    <t>Note horticulture</t>
  </si>
  <si>
    <t>7. Condition d'applications</t>
  </si>
  <si>
    <t>Nb matériels utilisés</t>
  </si>
  <si>
    <t>Note_Vigne</t>
  </si>
  <si>
    <t>Note_Arbo</t>
  </si>
  <si>
    <t>Note_Lég fleurs fruits</t>
  </si>
  <si>
    <t>Note_Hors sol</t>
  </si>
  <si>
    <t>9. Couvert végétal inter-rang</t>
  </si>
  <si>
    <t>Ratio_Vigne</t>
  </si>
  <si>
    <t>Ratio_Arbo</t>
  </si>
  <si>
    <t>Note_Horti</t>
  </si>
  <si>
    <t>Ratio_Horti</t>
  </si>
  <si>
    <t>10. Recyclage eaux irrigation</t>
  </si>
  <si>
    <t>Ratio_Hors horti</t>
  </si>
  <si>
    <t>Ratio_Horti total</t>
  </si>
  <si>
    <t>Ratio_Horti partiel</t>
  </si>
  <si>
    <t>Note_Hors horti</t>
  </si>
  <si>
    <t>Note_Horti total</t>
  </si>
  <si>
    <t>Note_Horti partiel</t>
  </si>
  <si>
    <t>Ratio hors horticulture</t>
  </si>
  <si>
    <t>Ratio horticulture</t>
  </si>
  <si>
    <t>8. Diversité spécifique et variétale</t>
  </si>
  <si>
    <t>GESTION DE LA FERTILISATION</t>
  </si>
  <si>
    <t>1. Bilan azoté</t>
  </si>
  <si>
    <t>Méthode retenue</t>
  </si>
  <si>
    <t>Otex concernée</t>
  </si>
  <si>
    <t>Nb campagnes</t>
  </si>
  <si>
    <t>Solde bilan</t>
  </si>
  <si>
    <t>Part cultures mineures</t>
  </si>
  <si>
    <t>Note corrigée</t>
  </si>
  <si>
    <t>2. Quantité d'azote</t>
  </si>
  <si>
    <t>3. Part azote organique</t>
  </si>
  <si>
    <t>4. Utilisation d'OAD</t>
  </si>
  <si>
    <t>CPpale_GC_Note</t>
  </si>
  <si>
    <t>CPpale_CP_Note</t>
  </si>
  <si>
    <t>CMin_Note</t>
  </si>
  <si>
    <t>5. % SAU non fertilisée</t>
  </si>
  <si>
    <t>4. Quantité substances</t>
  </si>
  <si>
    <t>6. Part des légumineuses</t>
  </si>
  <si>
    <t>Surface lég. inter-rang</t>
  </si>
  <si>
    <t xml:space="preserve">Surface lég. </t>
  </si>
  <si>
    <t>7. Couverture des sols</t>
  </si>
  <si>
    <t>ZV_Socle</t>
  </si>
  <si>
    <t>ZV_Surface couverte</t>
  </si>
  <si>
    <t>ZV_Nb semaines</t>
  </si>
  <si>
    <t>ZV_Note</t>
  </si>
  <si>
    <t>ZV_Note pondérée</t>
  </si>
  <si>
    <t>HZV_Socle</t>
  </si>
  <si>
    <t>HZV_Surface couverte</t>
  </si>
  <si>
    <t>HZV_Nb semaines</t>
  </si>
  <si>
    <t>HZV_Note</t>
  </si>
  <si>
    <t>HZV_Note pondérée</t>
  </si>
  <si>
    <t>8. Matériels optimisant les apports</t>
  </si>
  <si>
    <t>v1.04</t>
  </si>
  <si>
    <t>GESTION DE L'IRRIGATION</t>
  </si>
  <si>
    <t>Informations préalables</t>
  </si>
  <si>
    <t>Expl. irrigante</t>
  </si>
  <si>
    <t>% surface irriguée</t>
  </si>
  <si>
    <t>1. Enregistrement des pratiques</t>
  </si>
  <si>
    <t>Présence cahier</t>
  </si>
  <si>
    <t>Part données manquantes</t>
  </si>
  <si>
    <t>2. Utilisation d'outils de mesure</t>
  </si>
  <si>
    <t>Nb_outils_offre</t>
  </si>
  <si>
    <t>Nb_outils_demande</t>
  </si>
  <si>
    <t>Horti_Ratio</t>
  </si>
  <si>
    <t>Horti_Note</t>
  </si>
  <si>
    <t>4. Adhésion démarche co</t>
  </si>
  <si>
    <t>Adhésion</t>
  </si>
  <si>
    <t>5. Pratiques agronomiques</t>
  </si>
  <si>
    <t>6. Prélèvements étiage</t>
  </si>
  <si>
    <t>8. Récupération eaux pluie</t>
  </si>
  <si>
    <t>Présence dispositif</t>
  </si>
  <si>
    <t>3. Mat. optimisant apports</t>
  </si>
  <si>
    <t>Nb_outils mixtes</t>
  </si>
  <si>
    <t>Identification</t>
  </si>
  <si>
    <t>Type de certification</t>
  </si>
  <si>
    <t>Type d'audit</t>
  </si>
  <si>
    <t>Caractéristiques générales</t>
  </si>
  <si>
    <t>Surface totale</t>
  </si>
  <si>
    <t>SAU</t>
  </si>
  <si>
    <t>Campagne évaluée</t>
  </si>
  <si>
    <t>Nom de l'auditeur</t>
  </si>
  <si>
    <t>Version du référentiel appliquée</t>
  </si>
  <si>
    <t>Date de l'audit interne</t>
  </si>
  <si>
    <t>Correction de la formule en M55 pour qu'elle n'affiche rien tant que le nombre de campagnes n'est pas saisi, et non "0".</t>
  </si>
  <si>
    <t>Structure du fichier</t>
  </si>
  <si>
    <t>Protéagineux et lég. à grain</t>
  </si>
  <si>
    <t>Fourrages</t>
  </si>
  <si>
    <t>Surfaces en herbe</t>
  </si>
  <si>
    <t>Cultures industrielles</t>
  </si>
  <si>
    <t>Légumes, fleurs, fruits hors arbo</t>
  </si>
  <si>
    <t>Autres cultures pérennes</t>
  </si>
  <si>
    <t>Commentaire</t>
  </si>
  <si>
    <t>-</t>
  </si>
  <si>
    <t>Accord annuaire</t>
  </si>
  <si>
    <t>Email</t>
  </si>
  <si>
    <t>CPds_Mur pierres</t>
  </si>
  <si>
    <t>CDiv_Nb</t>
  </si>
  <si>
    <t>Exhaustif</t>
  </si>
  <si>
    <t>Ajout d'un onglet BDD_SC rassemblant des données pour les structures collectives.
Changement du nom de l'onglet BDD en BDD_OC, onglet destiné aux organismes certificateurs.</t>
  </si>
  <si>
    <t>v1.05</t>
  </si>
  <si>
    <t>Onglet Surfaces</t>
  </si>
  <si>
    <t>Onglet Synthèse</t>
  </si>
  <si>
    <t xml:space="preserve">Correction du calcul de la SAU en campagne n-1 et n-2 (cases P162 et P163) pour que les jachères noires soient prises en compte dans la somme (comme pour l'année n). </t>
  </si>
  <si>
    <t xml:space="preserve">Observations de l'auditeur : </t>
  </si>
  <si>
    <t xml:space="preserve">Observations de l'exploitant : </t>
  </si>
  <si>
    <t>Onglet ou item concerné</t>
  </si>
  <si>
    <t>Signature de l'auditeur :</t>
  </si>
  <si>
    <t xml:space="preserve">Signature de l'exploitant : </t>
  </si>
  <si>
    <t>Déverrouillage des zones de signature pour pouvoir insérer des formes ou des images.
Ajout du nom de l'exploitant et de l'auditeur au niveau des zones de saisie libre "Observations" et "Signatures".</t>
  </si>
  <si>
    <t>Autres arbres et arbustes en pot</t>
  </si>
  <si>
    <t>Plantes à massif, plantes vivaces, plants potagers en pot</t>
  </si>
  <si>
    <t>Autres fleurs coupées en pot</t>
  </si>
  <si>
    <t>Autres cultures couvertes pleine terre</t>
  </si>
  <si>
    <t>Fleurs coupées d'été pleine terre</t>
  </si>
  <si>
    <t>Autres cultures non couvertes pleine terre</t>
  </si>
  <si>
    <t>Légumes, fleurs, fruits hors arboriculture en plein air - pleine terre</t>
  </si>
  <si>
    <t>Légumes, fleurs, fruits hors arboriculture sous tunnel - pleine terre</t>
  </si>
  <si>
    <t>Légumes, fleurs, fruits hors arboriculture sous serre - pleine terre</t>
  </si>
  <si>
    <t>Toutes cultures hors sol (plantes en pots, hydroponie…)</t>
  </si>
  <si>
    <t>v1.06</t>
  </si>
  <si>
    <t>SAU cultivée en horticulture - pépinière lors du mois considéré</t>
  </si>
  <si>
    <r>
      <t xml:space="preserve">SAU cultivée en horticulture - pépinière </t>
    </r>
    <r>
      <rPr>
        <i/>
        <u/>
        <sz val="11"/>
        <color theme="1"/>
        <rFont val="Calibri"/>
        <family val="2"/>
        <scheme val="minor"/>
      </rPr>
      <t>hors sol</t>
    </r>
    <r>
      <rPr>
        <i/>
        <sz val="11"/>
        <color theme="1"/>
        <rFont val="Calibri"/>
        <family val="2"/>
        <scheme val="minor"/>
      </rPr>
      <t xml:space="preserve"> lors du mois considéré</t>
    </r>
  </si>
  <si>
    <t xml:space="preserve">Productions couvertes </t>
  </si>
  <si>
    <t>Productions extérieures</t>
  </si>
  <si>
    <t>Surface moy. / mois</t>
  </si>
  <si>
    <t>Onglet Surfaces_Horti</t>
  </si>
  <si>
    <r>
      <t xml:space="preserve">Surface des cultures "mineures" - </t>
    </r>
    <r>
      <rPr>
        <b/>
        <i/>
        <sz val="11"/>
        <color rgb="FFFF0000"/>
        <rFont val="Calibri"/>
        <family val="2"/>
        <scheme val="minor"/>
      </rPr>
      <t>SAISIE OBLIGATOIRE</t>
    </r>
  </si>
  <si>
    <t>Pour la surface en cultures mineures, remplir obligatoirement la case M58 dans l'item 1. Bilan azoté</t>
  </si>
  <si>
    <t>Surface non cultivée</t>
  </si>
  <si>
    <t>mois n°… de la campagne n-1</t>
  </si>
  <si>
    <t>mois n°… de la campagne évaluée (n)</t>
  </si>
  <si>
    <t xml:space="preserve">Attention : cette valeur doit être la même tous les mois. Cette ligne sert de vérification de la cohérence des surfaces de l'exploitation dédiées à l'horticulture. </t>
  </si>
  <si>
    <r>
      <t xml:space="preserve">Attention : cette valeur doit être la même tous les mois. Cette ligne sert de vérification de la cohérence des surfaces de l'exploitation dédiées à l'horticulture </t>
    </r>
    <r>
      <rPr>
        <i/>
        <u/>
        <sz val="11"/>
        <color theme="1"/>
        <rFont val="Calibri"/>
        <family val="2"/>
        <scheme val="minor"/>
      </rPr>
      <t>hors sol</t>
    </r>
    <r>
      <rPr>
        <i/>
        <sz val="11"/>
        <color theme="1"/>
        <rFont val="Calibri"/>
        <family val="2"/>
        <scheme val="minor"/>
      </rPr>
      <t xml:space="preserve">. </t>
    </r>
  </si>
  <si>
    <t>Surfaces par année (en ha)</t>
  </si>
  <si>
    <t>Annexe 5  Fourchettes de consommation "Horticultures et pépinières"</t>
  </si>
  <si>
    <t>Annexe 2 : Liste des infrastructures agro-écologiques</t>
  </si>
  <si>
    <t>Item IFT</t>
  </si>
  <si>
    <t>Codes et libellés des départements / régions / bassins viticoles</t>
  </si>
  <si>
    <r>
      <t xml:space="preserve">Surface </t>
    </r>
    <r>
      <rPr>
        <u/>
        <sz val="11"/>
        <color theme="1"/>
        <rFont val="Calibri"/>
        <family val="2"/>
        <scheme val="minor"/>
      </rPr>
      <t>hors sol</t>
    </r>
    <r>
      <rPr>
        <sz val="11"/>
        <color theme="1"/>
        <rFont val="Calibri"/>
        <family val="2"/>
        <scheme val="minor"/>
      </rPr>
      <t xml:space="preserve"> non cultivée</t>
    </r>
  </si>
  <si>
    <r>
      <t xml:space="preserve">Surface </t>
    </r>
    <r>
      <rPr>
        <u/>
        <sz val="11"/>
        <color theme="1"/>
        <rFont val="Calibri"/>
        <family val="2"/>
        <scheme val="minor"/>
      </rPr>
      <t>totale</t>
    </r>
    <r>
      <rPr>
        <sz val="11"/>
        <color theme="1"/>
        <rFont val="Calibri"/>
        <family val="2"/>
        <scheme val="minor"/>
      </rPr>
      <t xml:space="preserve"> (pleine terre + hors sol) non cultivée</t>
    </r>
  </si>
  <si>
    <t xml:space="preserve">Nouvel onglet de saisie mensuelle des surfaces cultivées en horticulture et des surfaces dédiées à l'horticulture non cultivées chaque mois. Le tableau Annexe Horticulture est alimenté automatiquement à partir de ce nouvel onglet. </t>
  </si>
  <si>
    <t>Substances actives (kg sa/an)</t>
  </si>
  <si>
    <t>Azote (kg N/an)</t>
  </si>
  <si>
    <t xml:space="preserve">Correction de la proratisation des points pour les "légumes, fleurs et fruits hors arboriculture" en excluant la surface en pommes de terre, non concernées par cet item. </t>
  </si>
  <si>
    <t>Saisir les données dans l'onglet "Surfaces_Horti".</t>
  </si>
  <si>
    <t>v1.07</t>
  </si>
  <si>
    <t>Correction des formules en lignes 284 et 285 pour que les calculs se fassent seulement si la réponse est "Oui" sur le critère socle.</t>
  </si>
  <si>
    <t>Onglet BDD_SC</t>
  </si>
  <si>
    <t>Onglet BDD_OC</t>
  </si>
  <si>
    <t>Ajout d'une colonne pour indiquer la date de 1ère certification sur la version v4.</t>
  </si>
  <si>
    <t xml:space="preserve">Ajout d'une colonne indiquant la version de la grille d'audit. </t>
  </si>
  <si>
    <t xml:space="preserve">En noir : </t>
  </si>
  <si>
    <t>modifications n'impactant pas le calcul des items et les points obtenus</t>
  </si>
  <si>
    <t>modifications impactant le calcul des items et les points obtenus</t>
  </si>
  <si>
    <t xml:space="preserve">En rouge : </t>
  </si>
  <si>
    <r>
      <t xml:space="preserve">Dans le tableau Légumes, fleurs, fruits hors arboriculture : lignes 133, 134, 135, précision qu'il s'agit de cultures de pleine terre, la ligne 136 regroupant toutes les surfaces hors sol. 
</t>
    </r>
    <r>
      <rPr>
        <sz val="11"/>
        <color rgb="FFFF0000"/>
        <rFont val="Calibri"/>
        <family val="2"/>
        <scheme val="minor"/>
      </rPr>
      <t>Dans le tableau Annexe Horticulture et pépinière : 
- modification de la classification des plantes entre hors sol et pleine terre ;</t>
    </r>
    <r>
      <rPr>
        <sz val="11"/>
        <color theme="1"/>
        <rFont val="Calibri"/>
        <family val="2"/>
        <scheme val="minor"/>
      </rPr>
      <t xml:space="preserve">
- suppression de la saisie dans ce tableau (cf. nouvel onglet Surfaces_Horti)</t>
    </r>
  </si>
  <si>
    <r>
      <t xml:space="preserve">Correction des formules de calcul des IFT de référence (grandes cultures et viticulture) pour que le résultat ne s'affiche qu'à partir du moment où des surfaces concernées sont saisies dans l'onglet Surfaces. 
</t>
    </r>
    <r>
      <rPr>
        <sz val="11"/>
        <color rgb="FFFF0000"/>
        <rFont val="Calibri"/>
        <family val="2"/>
        <scheme val="minor"/>
      </rPr>
      <t xml:space="preserve">Correction du calcul de l'IFT exploitant grandes cultures + pomme de terre (calcul masqué), prenant en compte l'IFT exploitant grandes cultures et l'IFT exploitant pomme de terre déclarés dans le tableau J88:M89 et permettant d'attribuer les points :
- dans le cas d'une exploitation faisant de la pomme de terre mais n'ayant pas de surfaces en grandes cultures ni prairies temporaires, l'IFT exploitant ne se calculait pas ;
- les surfaces en prairies permanentes étaient intégrées dans la moyenne pondérée : elles ont été enlevées.  </t>
    </r>
  </si>
  <si>
    <t>Version de la grille d'audit utilisée pour l'audit</t>
  </si>
  <si>
    <t>Couverture des sols + Onglet BDD_SC</t>
  </si>
  <si>
    <t>v1.08</t>
  </si>
  <si>
    <r>
      <rPr>
        <sz val="11"/>
        <color rgb="FFFF0000"/>
        <rFont val="Calibri"/>
        <family val="2"/>
        <scheme val="minor"/>
      </rPr>
      <t xml:space="preserve">Dans l'item Couverture des sols (Fertilisation) : correction des formules en cases O267 et O271 pour que la surface affichée reste 0 tant que la part de surface en zone vulnérable (case O257) n'est pas saisie. </t>
    </r>
    <r>
      <rPr>
        <sz val="11"/>
        <color theme="1"/>
        <rFont val="Calibri"/>
        <family val="2"/>
        <scheme val="minor"/>
      </rPr>
      <t xml:space="preserve">
Dans l'onglet BDD_SC : modification des formules GF6 à GJ6 pour que rien de s'affiche si la case O257 de l'item Couverture des sols n'est pas saisie. </t>
    </r>
  </si>
  <si>
    <t xml:space="preserve">Pour chaque item, une condition a été ajoutée pour le calcul final des points : si l'utilisation de CMR1 n'est pas renseignée (case vide), le résultat de tous les items reste 0. </t>
  </si>
  <si>
    <t>Onglet Phyto</t>
  </si>
  <si>
    <t xml:space="preserve">Correction de la formule d'attrbution finale des points (case P64) qui ne se calcule que si la part en cultures mineures est saisie. Sinon, le résultat reste à 0. </t>
  </si>
  <si>
    <t xml:space="preserve">Remarque : impact sur le résultat par rapport aux précédentes versions de la grille si cette donnée (déjà obligatoire) n'avait pas été saisie. </t>
  </si>
  <si>
    <t xml:space="preserve">Remarque : impact sur le résultat par rapport aux précédentes versions de la grille si cette information (déjà obligatoire) n'avait pas été saisie. </t>
  </si>
  <si>
    <t>Certification individuelle directe</t>
  </si>
  <si>
    <t>CERTIS</t>
  </si>
  <si>
    <t>v4</t>
  </si>
  <si>
    <t>Onglet Suivi modif</t>
  </si>
  <si>
    <t>Onglet Identification</t>
  </si>
  <si>
    <t>Ajout de la version du référentiel et de la version de la trame.
Nommage des cellules nécessaires pour l'import dans Certibase.</t>
  </si>
  <si>
    <t>Nommage des cellules nécessaires pour l'import dans Certibase.</t>
  </si>
  <si>
    <t>Onglet Biodiversité</t>
  </si>
  <si>
    <t>Onglet Fertilisation</t>
  </si>
  <si>
    <t>Onglet Irrigation</t>
  </si>
  <si>
    <t>Décision</t>
  </si>
  <si>
    <t>Onglet SYNTHESE</t>
  </si>
  <si>
    <t>Décisions initial</t>
  </si>
  <si>
    <t>Décisions suivi</t>
  </si>
  <si>
    <t>Décisions renouvellement</t>
  </si>
  <si>
    <t>Accord</t>
  </si>
  <si>
    <t>Refus</t>
  </si>
  <si>
    <t>Maintien</t>
  </si>
  <si>
    <t>Suspension</t>
  </si>
  <si>
    <t>Retrait</t>
  </si>
  <si>
    <t>Certification individuelle dans un cadre collectif</t>
  </si>
  <si>
    <t>Code associé</t>
  </si>
  <si>
    <t>AFNOR CERTIFICATION</t>
  </si>
  <si>
    <t>ALPES CONTROLES</t>
  </si>
  <si>
    <t>BUREAU VERITAS CERTIFICATION</t>
  </si>
  <si>
    <t>CERTIPAQ</t>
  </si>
  <si>
    <t>CERTISUD</t>
  </si>
  <si>
    <t>CKCERT</t>
  </si>
  <si>
    <t>CONTROL UNION INSPECTIONS FRANCE</t>
  </si>
  <si>
    <t>ECOCERT</t>
  </si>
  <si>
    <t>LRO</t>
  </si>
  <si>
    <t>OCACIA</t>
  </si>
  <si>
    <t>QB VERIFICATION</t>
  </si>
  <si>
    <t>QUALISUD</t>
  </si>
  <si>
    <t>SGS ICS</t>
  </si>
  <si>
    <t>SOCOFRET</t>
  </si>
  <si>
    <t>TERRAE</t>
  </si>
  <si>
    <t>AVPI</t>
  </si>
  <si>
    <t>AFNOR</t>
  </si>
  <si>
    <t>ALPES</t>
  </si>
  <si>
    <t>VERITAS</t>
  </si>
  <si>
    <t>UNION</t>
  </si>
  <si>
    <t>QB</t>
  </si>
  <si>
    <t>SGS</t>
  </si>
  <si>
    <t>Individuel</t>
  </si>
  <si>
    <t>Collectif</t>
  </si>
  <si>
    <t>Rang (gauche - droite)</t>
  </si>
  <si>
    <t>Chiffres</t>
  </si>
  <si>
    <t>Double rang impair</t>
  </si>
  <si>
    <t>Supérieur à 10</t>
  </si>
  <si>
    <t>SIRET exploitation</t>
  </si>
  <si>
    <t>SIRET structure coll.</t>
  </si>
  <si>
    <t>Durée de l'audit</t>
  </si>
  <si>
    <t>CVI</t>
  </si>
  <si>
    <t>Nom de l'exploitant</t>
  </si>
  <si>
    <t>Année de création</t>
  </si>
  <si>
    <t>Identification de l'exploitation auditée</t>
  </si>
  <si>
    <t>Activité végétale principale</t>
  </si>
  <si>
    <t>Activité végétale secondaire</t>
  </si>
  <si>
    <t>Activité végétale autre</t>
  </si>
  <si>
    <t>Activité animale principale</t>
  </si>
  <si>
    <t>Activité animale secondaire</t>
  </si>
  <si>
    <t>Activité animale autre</t>
  </si>
  <si>
    <t>Démarche équivalence niveau 2</t>
  </si>
  <si>
    <t>Autre démarche qualité 1</t>
  </si>
  <si>
    <t>Autre démarche qualité 2</t>
  </si>
  <si>
    <t>Autre démarche qualité 3</t>
  </si>
  <si>
    <t>Autres certifications de l'exploitation</t>
  </si>
  <si>
    <t>Surface de l'exploitation</t>
  </si>
  <si>
    <t>SNE</t>
  </si>
  <si>
    <t>IDENTIFICATION</t>
  </si>
  <si>
    <t>SURFACES</t>
  </si>
  <si>
    <t>Adresse complément</t>
  </si>
  <si>
    <t>Onglet Synthese_coll_v1.0</t>
  </si>
  <si>
    <t>Création de l'onglet. Il s'agit d'une refonte de l'onglet BDD_SC qui permettra aux SC de réaliser les copier-coller dans le fichier de synthèse du collectif.</t>
  </si>
  <si>
    <t>Contexte de l'audit interne</t>
  </si>
  <si>
    <t>2e suivi (cadre collectif)</t>
  </si>
  <si>
    <t>Légumes, fleurs (y compris les plantes médicinales, à parfum, ornementales, aromatiques) et fruits hors arboriculture - hors pommes de terre</t>
  </si>
  <si>
    <r>
      <rPr>
        <b/>
        <i/>
        <sz val="11"/>
        <rFont val="Calibri"/>
        <family val="2"/>
      </rPr>
      <t xml:space="preserve">Information </t>
    </r>
    <r>
      <rPr>
        <i/>
        <sz val="11"/>
        <rFont val="Calibri"/>
        <family val="2"/>
        <scheme val="minor"/>
      </rPr>
      <t>:</t>
    </r>
    <r>
      <rPr>
        <i/>
        <sz val="11"/>
        <color rgb="FFFF0000"/>
        <rFont val="Calibri"/>
        <family val="2"/>
        <scheme val="minor"/>
      </rPr>
      <t xml:space="preserve"> Seules les cultures hors sol sont concernées par cet item.</t>
    </r>
  </si>
  <si>
    <t>Part des surfaces en cultures hors sol avec un système total</t>
  </si>
  <si>
    <t>Part des surfaces en cultures hors sol avec un système partiel</t>
  </si>
  <si>
    <t>Pour toutes les colonnes suivantes, suppression des formules et ajout de la mention "Non renseignée dans la trame v1.09" :
- "Date attestation niveau 1" (S)
- "Structure validatrice niveau 1" (T).
- "Certification de niveau 2" (U)
- "Date de certification niveau 2" (V)
- "Organisme certificateur niveau 2" (W)
- "Date de 1ère délivrance de la certification HVE" (Z)
- "Date de suspension de la certification" (AA)
- "Date d'arrêt de la certification" (AB)
- "Date 1ère certif HVE" (AQ)
- "Version référentiel" (AR)</t>
  </si>
  <si>
    <t>@</t>
  </si>
  <si>
    <t>nb car interdits</t>
  </si>
  <si>
    <t xml:space="preserve">position @ </t>
  </si>
  <si>
    <t>NBCAR</t>
  </si>
  <si>
    <t>Caractères de fin avec le point</t>
  </si>
  <si>
    <t>Adresse à vérifier</t>
  </si>
  <si>
    <t>adressemail@detest.fr</t>
  </si>
  <si>
    <t>Le caractère "@" est obligatoire et doit être présent une seule fois</t>
  </si>
  <si>
    <t>Pas de "." (point) avant "@"</t>
  </si>
  <si>
    <t>Le caractère "." (point) ne peut pas être présent 2 fois de suite</t>
  </si>
  <si>
    <t>L'adresse ne doit pas contenir de caractère interdit</t>
  </si>
  <si>
    <t>La partie locale (avant le @) fait 64 caractères au maximum</t>
  </si>
  <si>
    <t>Caractères autorisés</t>
  </si>
  <si>
    <t>.</t>
  </si>
  <si>
    <t>_</t>
  </si>
  <si>
    <t>a</t>
  </si>
  <si>
    <t>b</t>
  </si>
  <si>
    <t>c</t>
  </si>
  <si>
    <t>d</t>
  </si>
  <si>
    <t>e</t>
  </si>
  <si>
    <t>f</t>
  </si>
  <si>
    <t>g</t>
  </si>
  <si>
    <t>h</t>
  </si>
  <si>
    <t>i</t>
  </si>
  <si>
    <t>j</t>
  </si>
  <si>
    <t>k</t>
  </si>
  <si>
    <t>l</t>
  </si>
  <si>
    <t>m</t>
  </si>
  <si>
    <t>n</t>
  </si>
  <si>
    <t>o</t>
  </si>
  <si>
    <t>p</t>
  </si>
  <si>
    <t>q</t>
  </si>
  <si>
    <t>r</t>
  </si>
  <si>
    <t>s</t>
  </si>
  <si>
    <t>t</t>
  </si>
  <si>
    <t>u</t>
  </si>
  <si>
    <t>v</t>
  </si>
  <si>
    <t>w</t>
  </si>
  <si>
    <t>y</t>
  </si>
  <si>
    <t>z</t>
  </si>
  <si>
    <t>Fruits hors sol</t>
  </si>
  <si>
    <t>Légumes hors sol</t>
  </si>
  <si>
    <t>v1.09</t>
  </si>
  <si>
    <t>Onglet Accueil</t>
  </si>
  <si>
    <t>Ajout de formules pour récupérer automatiquement la version et la date depuis l'onglet "Suivi modif".</t>
  </si>
  <si>
    <t>Biodiversité</t>
  </si>
  <si>
    <t>Phyto</t>
  </si>
  <si>
    <t>Fertilisation</t>
  </si>
  <si>
    <t>Irrigation</t>
  </si>
  <si>
    <t>SYNTHESE</t>
  </si>
  <si>
    <t>Résultat de l'audit</t>
  </si>
  <si>
    <t>Total SAU hors sol</t>
  </si>
  <si>
    <t>Audit interne</t>
  </si>
  <si>
    <t>Exploitation irrigante</t>
  </si>
  <si>
    <t>Les exploitations sont classées selon leur spécialisation : l'orientation technico- économique (OTEX). Ce classement se fait à partir des coefficients de production brute standard (PBS).
Une exploitation est spécialisée dans un domaine si la PBS de la ou des productions concernées dépasse deux tiers du total.</t>
  </si>
  <si>
    <t>Démarches de niveau 2</t>
  </si>
  <si>
    <t>Norme NF V01-007 dans le cadre d'Agri Confiance mise en place par l'Union des Vignerons des Côtes du Luberon (UVCL)</t>
  </si>
  <si>
    <t>Norme NF V01-007 dans le cadre d'Agri Confiance mise en place par l'Union des Producteurs de Saint-Emilion</t>
  </si>
  <si>
    <t>Norme NF V01-007 dans le cadre d'Agri Confiance mise en place par la cave coopérative vinicole Wolfberger</t>
  </si>
  <si>
    <t>Production et transformation de viande de veau de boucherie portée par l'association Bleu Blanc Cœur</t>
  </si>
  <si>
    <t>Norme NF V01-007 dans le cadre d'Agri Confiance mise en place par la Coopérative de la Tricherie</t>
  </si>
  <si>
    <t>Norme NF V01-007 dans le cadre d'Agri Confiance mise en place par EUREDEN (Légumes industries)</t>
  </si>
  <si>
    <t>Norme NF V01-007 dans le cadre d'Agri Confiance mise en place par la Cave Anne de Joyeuse</t>
  </si>
  <si>
    <t>Charte nationale de production intégrée des producteurs de pêches-nectarines et abricots</t>
  </si>
  <si>
    <t>Norme NF V01-007 dans le cadre d'Agri Confiance mise en place par VALFRANCE</t>
  </si>
  <si>
    <t>Norme NF V01-007 dans le cadre d'Agri Confiance mise en place par la CAVAC</t>
  </si>
  <si>
    <t>Norme NF V01-007 dans le cadre d'Agri Confiance mise en place par la SCARA</t>
  </si>
  <si>
    <t>Norme NF V01-007 dans le cadre d'Agri Confiance mise en place par Terrena</t>
  </si>
  <si>
    <t>Charte nationale de production fruitière intégrée des producteurs de noix</t>
  </si>
  <si>
    <t>Cahier des charges de production de légumes Bonduelle en Hauts de France</t>
  </si>
  <si>
    <t>Charte qualité "Noisettes et Noix Naturellement Durables (N3D)"</t>
  </si>
  <si>
    <t>Charte environnement le veau responsable – Tendriade</t>
  </si>
  <si>
    <t>Filière Qualité Carrefour (EQC) et Reflets de France</t>
  </si>
  <si>
    <t>Charte Qualité des Pomiculteurs de France (QPF)</t>
  </si>
  <si>
    <t>Charte nationale de production intégrée Prune</t>
  </si>
  <si>
    <t>CRC - Culture Raisonnée Contrôlée CC/01/19</t>
  </si>
  <si>
    <t>CRC - Culture Raisonnée Contrôlée CC/02/20</t>
  </si>
  <si>
    <t>Charte EVA-Environnement (poulet de chair)</t>
  </si>
  <si>
    <t>Charte de production des produits de serre</t>
  </si>
  <si>
    <t>Charte EVA-Environnement (canard à rôtir)</t>
  </si>
  <si>
    <t>CultivUp - Expert Environnement - AXEREAL</t>
  </si>
  <si>
    <t>Norme NF V30-001 mise en place par Cavac</t>
  </si>
  <si>
    <t>Culture Durable en Auvergne-Rhône-Alpes</t>
  </si>
  <si>
    <t>Filière Responsable Moulins Soufflet</t>
  </si>
  <si>
    <t>Charte EVA-Environnement (pintade)</t>
  </si>
  <si>
    <t>La Nouvelle Agriculture de Terrena</t>
  </si>
  <si>
    <t>CRC - Culture Raisonnée Contrôlée</t>
  </si>
  <si>
    <t>BEE FRIENDLY (Fruits et légumes)</t>
  </si>
  <si>
    <t>Viticulture Durable en Champagne</t>
  </si>
  <si>
    <t>Charte EVA-Environnement (dinde)</t>
  </si>
  <si>
    <t>Charte Cocotine - Environnement</t>
  </si>
  <si>
    <t>Charte Environnement COOPERL</t>
  </si>
  <si>
    <t>Plante Bleue « Certifié »</t>
  </si>
  <si>
    <t>Zéro Résidu de Pesticides</t>
  </si>
  <si>
    <t>Vaches aux pâturage</t>
  </si>
  <si>
    <t>LEAF (périmètre UE)</t>
  </si>
  <si>
    <t>Plaisir &amp; Confiance</t>
  </si>
  <si>
    <t>Signature Normande</t>
  </si>
  <si>
    <t>Fruits et Nature</t>
  </si>
  <si>
    <t>Demain la Terre</t>
  </si>
  <si>
    <t>Label Equures</t>
  </si>
  <si>
    <t>Charte d'Aucy</t>
  </si>
  <si>
    <t>BEE FRIENDLY</t>
  </si>
  <si>
    <t>VEGAPLAN-FR</t>
  </si>
  <si>
    <t>Terra Vitis</t>
  </si>
  <si>
    <t>Sud Nature</t>
  </si>
  <si>
    <t>CRITERRES</t>
  </si>
  <si>
    <t>GBDS</t>
  </si>
  <si>
    <t>LUBERON</t>
  </si>
  <si>
    <t>EMILION</t>
  </si>
  <si>
    <t>WOLFBERGER</t>
  </si>
  <si>
    <t>BBC</t>
  </si>
  <si>
    <t>TRICHERIE</t>
  </si>
  <si>
    <t>EUREDEN</t>
  </si>
  <si>
    <t>CAJ</t>
  </si>
  <si>
    <t>PECHE</t>
  </si>
  <si>
    <t>OUEST</t>
  </si>
  <si>
    <t>VALFRANCE</t>
  </si>
  <si>
    <t>CAVAC</t>
  </si>
  <si>
    <t>SCARA</t>
  </si>
  <si>
    <t>TERRENA</t>
  </si>
  <si>
    <t>NOIX</t>
  </si>
  <si>
    <t>BONDUELLE</t>
  </si>
  <si>
    <t>AREA</t>
  </si>
  <si>
    <t>SMEBORDEAUX</t>
  </si>
  <si>
    <t>N3D</t>
  </si>
  <si>
    <t>TENDRIADE</t>
  </si>
  <si>
    <t>EQC</t>
  </si>
  <si>
    <t>QPF</t>
  </si>
  <si>
    <t>PRUNE</t>
  </si>
  <si>
    <t>CRC CC/01/09</t>
  </si>
  <si>
    <t>CRC CC/02/20</t>
  </si>
  <si>
    <t>EVAPOULET</t>
  </si>
  <si>
    <t>SERRE</t>
  </si>
  <si>
    <t>EVACANARD</t>
  </si>
  <si>
    <t>AXEREAL</t>
  </si>
  <si>
    <t>V30CAVAC</t>
  </si>
  <si>
    <t>ARA</t>
  </si>
  <si>
    <t>RESPSOUFFLET</t>
  </si>
  <si>
    <t>EVAPINTADE</t>
  </si>
  <si>
    <t>NATERRENA</t>
  </si>
  <si>
    <t>CRC</t>
  </si>
  <si>
    <t>BEE FRIENDLY FL</t>
  </si>
  <si>
    <t>CHAMPAGNE</t>
  </si>
  <si>
    <t>EVADINDE</t>
  </si>
  <si>
    <t>CCOTINE</t>
  </si>
  <si>
    <t>CCOPERL</t>
  </si>
  <si>
    <t>PLANTBLEUE</t>
  </si>
  <si>
    <t>ZERORP</t>
  </si>
  <si>
    <t>VACHE</t>
  </si>
  <si>
    <t>LEAF</t>
  </si>
  <si>
    <t>PC</t>
  </si>
  <si>
    <t>SIGNNORMANDE</t>
  </si>
  <si>
    <t>FEN</t>
  </si>
  <si>
    <t>DEMAIN</t>
  </si>
  <si>
    <t>EQUURES</t>
  </si>
  <si>
    <t>AUCY</t>
  </si>
  <si>
    <t>TERRAVENIR</t>
  </si>
  <si>
    <t>TERRAVITIS</t>
  </si>
  <si>
    <t>SUDNAT</t>
  </si>
  <si>
    <t>Norme NF V01-007 dans le cadre d'Agri Confiance mise en place par la Terres de l'Ouest</t>
  </si>
  <si>
    <t>AREA (Agriculture Respectueuse de l'environnement en Nouvelle-Aquitaine)</t>
  </si>
  <si>
    <t>Système de Management de l'Environnement (SME) du vin de Bordeaux</t>
  </si>
  <si>
    <t>Terr'Avenir</t>
  </si>
  <si>
    <t>Audit externe</t>
  </si>
  <si>
    <t>Nature audit</t>
  </si>
  <si>
    <t>Type audit (cadre collectif)</t>
  </si>
  <si>
    <t>Type audit (cadre individuel)</t>
  </si>
  <si>
    <t>Sans bassin viticole</t>
  </si>
  <si>
    <t>Ardèche Partie nord</t>
  </si>
  <si>
    <t>Saône-et-Loire Hors périmètre AOC Beaujolais</t>
  </si>
  <si>
    <t>Saint-Pierre-et-Miquelon</t>
  </si>
  <si>
    <t>Saint-Barthélemy</t>
  </si>
  <si>
    <t>Saint-Martin</t>
  </si>
  <si>
    <t>Terres australes et antarctiques françaises</t>
  </si>
  <si>
    <t>Wallis-et-Futuna</t>
  </si>
  <si>
    <t>Polynésie française</t>
  </si>
  <si>
    <t>Nouvelle-Calédonie</t>
  </si>
  <si>
    <t>Ile de Clipperton</t>
  </si>
  <si>
    <t>02A</t>
  </si>
  <si>
    <t>02B</t>
  </si>
  <si>
    <t>Saône-et-Loire Périmètre AOC Beaujolais</t>
  </si>
  <si>
    <t>Ardèche Partie sud</t>
  </si>
  <si>
    <t>Drôme Partie nord</t>
  </si>
  <si>
    <t>Drôme Partie sud</t>
  </si>
  <si>
    <t>Rhône Périmètre AOC Beaujolais</t>
  </si>
  <si>
    <t>Rhône Hors périmètre AOC Beaujolais</t>
  </si>
  <si>
    <t>Bassin viticole Nord Sud</t>
  </si>
  <si>
    <t>Bassin viticole AOC Beaujolais</t>
  </si>
  <si>
    <t>Renommage du bloc "Niveaux de certification de l'exploitation" en "Autres certifications de l'exploitation" et suppression dans ce bloc des éléments relatifs aux niveaux de certification (1, 2 et 3).
Nommage des cellules nécessaires pour l'import dans Certibase.
Modification du format de la cellule "Année de création de l'exploitation" =&gt; passage de code postal portugais à nombre.
Déplacement des valeurs de la liste déroulante "Type d'audit" de la validation des données vers l'onglet Listes.
Renommage de "Organisme Auditeur" en "Organisme Certificateur"
Mise en place d'une liste déroulante pour la cellule Organisme Certificateur.
Ajout des codes TYPE_CERTIF et ORGA_AUDITEUR à côté de leur libellé.
Ajout d'une alerte lorsque le siret de l'exploitation saisi n'est pas conforme (ne respecte pas l'algorithme de Luhn).
Ajout d'une validation des données sur le SIRET : il doit être au format numérique sur 14 caractères.
Ajout d'une validation des données sur le CVI : il doit être au format numérique sur 10 caractères.
Les valeurs proposées pour le type d'audit sont conditionnées par la valeur du type de certification.
Ajout d'une alerte lorsque la combinaison type d'audit / type de certification n'est pas cohérente (2ème suivi dans un cadre individuel).
Ajout d'un champ pour la saisie du SIRET de la structure collective.
Ajout d'une alerte lorsque le siret de la structure collective saisi n'est pas conforme (ne respecte pas l'algorithme de Luhn).
Mise en forme du bloc lié au cadre collectif et ajout de messages d'informations et d'alerte.
Ajout de 3 valeurs dans la liste des activités végétales : fruits hors sol, horticulture hors sol, légumes hors sol.
Renommage de "Type de certification" en "Cadre de la certification"
Mise en place d'une liste déroulante pour la cellule Nom démarche (Equivalence Niveau 2)
Modification de la liste des départements pour être conforme aux départements INSEE
Ajout de la donnée "Cplt Bassin Viticole" pour définir le bassin viticole avec une alerte lorsque la donnée est obligatoire (uniquement pour Ardèche, Drôme, Rhône, Saône-et-Loire) + Ajout valeur "Sans bassin viticole" dans le référentiel</t>
  </si>
  <si>
    <t>Total Céréales</t>
  </si>
  <si>
    <t>Total Oléagineux</t>
  </si>
  <si>
    <t>Total Protéagineux et légumineuses à grain</t>
  </si>
  <si>
    <t>Total Cultures fibres et jachères</t>
  </si>
  <si>
    <t>Total Fourrages</t>
  </si>
  <si>
    <t>Total Surfaces en herbe</t>
  </si>
  <si>
    <t>Total Cultures industrielles</t>
  </si>
  <si>
    <t>Total Légumes, fleurs, fruits hors arbo</t>
  </si>
  <si>
    <t>Total Arboriculture</t>
  </si>
  <si>
    <r>
      <t xml:space="preserve">Nommage des cellules nécessaires pour l'import dans Certibase.
Diversité spécifique et variétale =&gt; mise à jour du libellé "Légumes, fleurs…" : ajout de "(y compris les plantes médicinales, à parfum, ornementales, aromatiques)" après "fleurs".
Ajout d'un champ "Commentaires" en-dessous de CMR2.
</t>
    </r>
    <r>
      <rPr>
        <sz val="11"/>
        <color rgb="FFFF0000"/>
        <rFont val="Calibri"/>
        <family val="2"/>
        <scheme val="minor"/>
      </rPr>
      <t xml:space="preserve">Recyclage et traitement des eaux : (i) ajout de la condition &lt; 25% et </t>
    </r>
    <r>
      <rPr>
        <sz val="11"/>
        <color rgb="FFFF0000"/>
        <rFont val="Calibri"/>
        <family val="2"/>
      </rPr>
      <t>≥ 25%</t>
    </r>
    <r>
      <rPr>
        <sz val="9.35"/>
        <color rgb="FFFF0000"/>
        <rFont val="Calibri"/>
        <family val="2"/>
      </rPr>
      <t xml:space="preserve"> </t>
    </r>
    <r>
      <rPr>
        <sz val="11"/>
        <color rgb="FFFF0000"/>
        <rFont val="Calibri"/>
        <family val="2"/>
        <scheme val="minor"/>
      </rPr>
      <t xml:space="preserve">dans les cellules de calcul N358 et N359, respectivement, </t>
    </r>
    <r>
      <rPr>
        <sz val="11"/>
        <rFont val="Calibri"/>
        <family val="2"/>
        <scheme val="minor"/>
      </rPr>
      <t>et (ii) nombre max de points théorique horticulture à 6 et pas 7 en cellule W360.</t>
    </r>
    <r>
      <rPr>
        <sz val="11"/>
        <color theme="1"/>
        <rFont val="Calibri"/>
        <family val="2"/>
        <scheme val="minor"/>
      </rPr>
      <t xml:space="preserve">
Simplification des formules des cellules liées à l'utilisation ou non de CMR1 (pas d'impact sur les calculs ni sur les alertes)
</t>
    </r>
    <r>
      <rPr>
        <sz val="11"/>
        <color rgb="FFFF0000"/>
        <rFont val="Calibri"/>
        <family val="2"/>
        <scheme val="minor"/>
      </rPr>
      <t>Prise en compte des cellules n-1 et n-2 de l'onglet surfaces pour le calcul de l'IFT si calcul sur 3 ans en grandes cultures et arboriculture.</t>
    </r>
  </si>
  <si>
    <t>Viticulture, arboriculture et autres cultures permanentes</t>
  </si>
  <si>
    <r>
      <t xml:space="preserve">Nommage des cellules nécessaires pour l'import dans Certibase.
Ajout d'une alerte lorsque la SAU de la campagne évaluée est égale à 0
Ajout d'une alerte lorsque le choix du verger est renseigné sans surface pour la campagne évaluée et vice versa
Ajout de totaux pour les cultures composant la SAU de l'exploitation (O84,O91,O98,O106,O112,O123,O130,O138,O159)
</t>
    </r>
    <r>
      <rPr>
        <sz val="11"/>
        <color rgb="FFFF0000"/>
        <rFont val="Calibri"/>
        <family val="2"/>
        <scheme val="minor"/>
      </rPr>
      <t>Retrait des sapins de Noël de la SNE</t>
    </r>
  </si>
  <si>
    <t>Total points grandes cultures</t>
  </si>
  <si>
    <t>Total points vigne, arboriculture, maraîchage</t>
  </si>
  <si>
    <t>Total surfaces légumineuses hors inter-rang</t>
  </si>
  <si>
    <r>
      <t xml:space="preserve">Nommage des cellules nécessaires pour l'import dans Certibase.
Modification de la formule des cellules lignes 23 et 25, 44 et 46 afin d'afficher vide si les cellules servant au calcul sont vides.
</t>
    </r>
    <r>
      <rPr>
        <sz val="11"/>
        <color rgb="FFFF0000"/>
        <rFont val="Calibri"/>
        <family val="2"/>
        <scheme val="minor"/>
      </rPr>
      <t>OAD =&gt; modification du calcul en cellule P171 pour prendre en compte la surface renseignée en L143 au lieu de la surface en N160 au numérateur du calcul.
Couverture des sols : les surfaces calculées en cellules O267 et O271 sont arrondies à 2 décimales et les pourcentages calculés en cellules O284 et O285 sont arrondis à 2 décimales.
Recyclage et traitement des eaux :</t>
    </r>
    <r>
      <rPr>
        <sz val="11"/>
        <color theme="1"/>
        <rFont val="Calibri"/>
        <family val="2"/>
        <scheme val="minor"/>
      </rPr>
      <t xml:space="preserve"> (i) remplacement du message d'information en C336 "Seules les cultures hors sol sont concernées par cet item."</t>
    </r>
    <r>
      <rPr>
        <sz val="11"/>
        <color rgb="FFFF0000"/>
        <rFont val="Calibri"/>
        <family val="2"/>
        <scheme val="minor"/>
      </rPr>
      <t xml:space="preserve">, (ii) agrégation de l'item horticulture hors sol pour toutes les cultures hors sol. % de recyclage total et partiel sur toutes les cultures hors sol à renseigner. Calcul sur la SAU totale hors sol au prorata de la SAU totale exploitation. Nb maximal de points théorique = 6. </t>
    </r>
    <r>
      <rPr>
        <sz val="11"/>
        <rFont val="Calibri"/>
        <family val="2"/>
        <scheme val="minor"/>
      </rPr>
      <t>et (iii) les cellules O339 et O340 renvoient le message d'erreur "Attention : surfaces saisies &gt; SAU hors sol" lorsque la surface concernée saisie est supérieure au total SAU hors sol (cellule L344). 
Ajout de totaux : TOTAL_CP_GC, TOTAL_CP_VAM, TOTAL_SURFACE_LEG</t>
    </r>
  </si>
  <si>
    <r>
      <t xml:space="preserve">Nommage des cellules nécessaires pour l'import dans Certibase.
Exploitation irrigante en cellule C10 et pas "irriguante".
</t>
    </r>
    <r>
      <rPr>
        <sz val="11"/>
        <rFont val="Calibri"/>
        <family val="2"/>
        <scheme val="minor"/>
      </rPr>
      <t>Recyclage et traitement des eaux d'irrigation =&gt; compte-tenu des modifications apportées à l'onglet Fertilisation (cf ci-dessus), les données Recyclage et traitement des eaux d'irrigation de l'onglet Irrigation (qui ne concernent que la filière horticulture et pépinière) sont désormais récupérées depuis l'onglet Phyto (et plus de l'onglet Fertilisation). Nombre max de points théorique à 6 et pas 7 en cellule W213. 
Ajout du ratio de surface irriguée : RATIO_SURFACE_IRRIGUEE</t>
    </r>
  </si>
  <si>
    <t>v1.10</t>
  </si>
  <si>
    <t>Correction du renvoi de la cellule correspondant à l'item 6.9 pour récupérer les points</t>
  </si>
  <si>
    <t>Item IFT - Correction de la formule de  calcul de la surface de référence en Grandes cultures
Item Diversité spécifique et variétale - Correction de la formule de  calcul de la Part de la surface concernée arboriculture et autres cultures pérennes</t>
  </si>
  <si>
    <t xml:space="preserve">Item Couverture des sols - Correction de la formule de  calcul du Total SAU hors viticulture, arboriculture et horticulture-pépinière </t>
  </si>
  <si>
    <t>v1.11</t>
  </si>
  <si>
    <t>SEVEPI</t>
  </si>
  <si>
    <t>Norme NF V01-007 dans le cadre d'Agri Confiance mise en place par la Société coopérative agricole Sevépi</t>
  </si>
  <si>
    <t>Onglet Listes</t>
  </si>
  <si>
    <t>Ajout d'une zone de saisie libre au bloc 4. Adhésion à une démarche collective.</t>
  </si>
  <si>
    <t>Nombre d'années utilisé pour le calcul de l'IFT</t>
  </si>
  <si>
    <t>Ancien</t>
  </si>
  <si>
    <t>GC</t>
  </si>
  <si>
    <t>H</t>
  </si>
  <si>
    <t>Arbo</t>
  </si>
  <si>
    <r>
      <rPr>
        <b/>
        <sz val="11"/>
        <color theme="1"/>
        <rFont val="Calibri"/>
        <family val="2"/>
      </rPr>
      <t>Source</t>
    </r>
    <r>
      <rPr>
        <sz val="11"/>
        <color theme="1"/>
        <rFont val="Calibri"/>
        <family val="2"/>
        <scheme val="minor"/>
      </rPr>
      <t> :  SSP – Agreste : enquêtes sur les pratiques phytosanitaires en 2014 et culturales en 2017 et 2021 en grandes cultures</t>
    </r>
  </si>
  <si>
    <r>
      <rPr>
        <b/>
        <sz val="11"/>
        <color theme="1"/>
        <rFont val="Calibri"/>
        <family val="2"/>
        <scheme val="minor"/>
      </rPr>
      <t>Note de lecture</t>
    </r>
    <r>
      <rPr>
        <sz val="11"/>
        <color theme="1"/>
        <rFont val="Calibri"/>
        <family val="2"/>
        <scheme val="minor"/>
      </rPr>
      <t> : En île-de-France, la valeur plancher de l'IFT « herbicides » est de 1,17 pour le système « Grandes cultures » et de 1,40 pour le système « Pomme de terre ».</t>
    </r>
  </si>
  <si>
    <t>Nb de campagnes pour le calcul de l'IFT (1, 2 ou 3)</t>
  </si>
  <si>
    <t>Nb de campagnes pour le calcul du bilan (1, 2 ou 3)</t>
  </si>
  <si>
    <t>Calcul des IFT Plafond et Plancher</t>
  </si>
  <si>
    <t>Nombre d'années utilisé pour le calcul</t>
  </si>
  <si>
    <t>Grandes cultures (PdT inclues)</t>
  </si>
  <si>
    <t>Campagne N</t>
  </si>
  <si>
    <t>Campagne N-1</t>
  </si>
  <si>
    <t>Campagne N-2</t>
  </si>
  <si>
    <t>En cours</t>
  </si>
  <si>
    <t>Calcul de l'IFT TOTAL Grandes cultures (avec PdT)</t>
  </si>
  <si>
    <t>Pommes de terre 
(PdT)</t>
  </si>
  <si>
    <t>Onglet Scoring_GC</t>
  </si>
  <si>
    <t>FARINELR</t>
  </si>
  <si>
    <t>Label Rouge n°LA 11/04 "Farine pour pain de tradition française"</t>
  </si>
  <si>
    <t>Sillon Responsable Démarche Environnementale</t>
  </si>
  <si>
    <t>SRDE</t>
  </si>
  <si>
    <t>Ajout de la nouvelle grille de notation pour les Grandes cultures, bascule de la grille de notation en cours de la v1.10 de la grille d'audit dans la grille d'ancienne notation de la v1.11 de la grille d'audit</t>
  </si>
  <si>
    <t>IFT réalisés</t>
  </si>
  <si>
    <t>Item IFT 
- Correction des formules de calcul des IFT de référence plancher et plafond pour les Grandes cultures ; 
- Intégration de la possibilité de calculer l'IFT sur 2 ou 3 ans ; 
- Intégration de la possibilité d'utiliser les nouvelles ou anciennes références d'IFT pour les Grandes cultures ; 
- Création d'une cellule "Nb de campagnes pour le calcul de l'IFT (1, 2 ou 3)" à saisir obligatoirement pour le calcul de l'item</t>
  </si>
  <si>
    <t>IFT_Réalisés_GCH</t>
  </si>
  <si>
    <t>IFT_Réalisés_GCHH</t>
  </si>
  <si>
    <t>IFT_Réalisés_VH</t>
  </si>
  <si>
    <t>IFT_Réalisés_VHH</t>
  </si>
  <si>
    <t>IFT_Réalisés_AH</t>
  </si>
  <si>
    <t>IFT_Réalisés_AHH</t>
  </si>
  <si>
    <t>Nb Campagnes IFT</t>
  </si>
  <si>
    <t>Ajout des colonnes concernant les nouvelles cellules IFT de l'onglet Phyto</t>
  </si>
  <si>
    <t>Onglet Synthese_coll_v1.01</t>
  </si>
  <si>
    <t>Retrait du message "Ne pas renseigner les informations sur la décision si l'audit est réalisé dans un cadre collectif (audit interne ou externe)" car la date de decision doit être renseignée</t>
  </si>
  <si>
    <t>Les IFT réalisés sont calculés pour les Grandes cultures (PdT inclues), la Vigne et l'Arboriculture en fonction du nombre de campagnes sélectionné et des surfaces des cultures renseignées à l'onglet Surfaces</t>
  </si>
  <si>
    <t>Les valeurs plancher et plafond sont calculées en fonction du nombre de campagnes sélectionné pour le calcul et des surfaces des cultures renseignées à l'onglet Surfaces</t>
  </si>
  <si>
    <t>Entrepreneur individuel</t>
  </si>
  <si>
    <t>Mise à jour de la liste des démarches reconnues équivalentes au Niveau 2 de la Certification environnementale.
Modification du libelle du statut juridique "Exploitation individuelle" en "Entrepreneur individuel".</t>
  </si>
  <si>
    <t>EI</t>
  </si>
  <si>
    <t>GRPFAIT</t>
  </si>
  <si>
    <t>SCEA</t>
  </si>
  <si>
    <t>SARL</t>
  </si>
  <si>
    <t>SEP</t>
  </si>
  <si>
    <t>Autre_PM</t>
  </si>
  <si>
    <t>Autre_PP</t>
  </si>
  <si>
    <t>A_API</t>
  </si>
  <si>
    <t>A_BOV_LAIT</t>
  </si>
  <si>
    <t>A_BOV_VIANDE</t>
  </si>
  <si>
    <t>A_CAPRINS</t>
  </si>
  <si>
    <t>A_EQUINS</t>
  </si>
  <si>
    <t>A_LAPINS</t>
  </si>
  <si>
    <t>A_ŒUFS</t>
  </si>
  <si>
    <t>A_OVINS</t>
  </si>
  <si>
    <t>A_PORC</t>
  </si>
  <si>
    <t>A_VOLAILLES</t>
  </si>
  <si>
    <t>A_AUTRES</t>
  </si>
  <si>
    <t>V_FRUITS</t>
  </si>
  <si>
    <t>V_GR_CULTURES</t>
  </si>
  <si>
    <t>V_HORTI</t>
  </si>
  <si>
    <t>V_LEG</t>
  </si>
  <si>
    <t>V_VITI</t>
  </si>
  <si>
    <t>V_AUTRES</t>
  </si>
  <si>
    <t>V_FRUITS_HS</t>
  </si>
  <si>
    <t>V_HORTI_HS</t>
  </si>
  <si>
    <t>V_LEG_HS</t>
  </si>
  <si>
    <t>12 juillet 2024</t>
  </si>
  <si>
    <t>v1.12</t>
  </si>
  <si>
    <t>Localisation audit interne</t>
  </si>
  <si>
    <t>Le champ "Commentaire" (colonne HH) est le seul qui n'est pas récupéré automatiquement depuis les autres onglets. Il pourra être, si besoin, renseigné manuellement dans le fichier de synthèse du collectif.</t>
  </si>
  <si>
    <t>Sur place</t>
  </si>
  <si>
    <t>A distance</t>
  </si>
  <si>
    <t>Localisation de l'audit interne de suivi</t>
  </si>
  <si>
    <t xml:space="preserve">Item Couverture des sols
- Correction de la formule de calcul du Total SAU hors viticulture, arboriculture et horticulture-pépinière ; 
- Ajout d'une zone de saisie pour les surfaces </t>
  </si>
  <si>
    <t>SAU : lorsqu'un calcul de l'IFT est réalisé sur 2 ans, les surfaces des campagnes N et N-1 doivent obligatoirement être saisies / lorsqu'un calcul de l'IFT est réalisé 
sur 3 ans, les surfaces des campagnes N, N-1 et N-2 doivent obligatoirement être saisies.</t>
  </si>
  <si>
    <t>Onglet Synthese_coll_v1.02</t>
  </si>
  <si>
    <t>Ajout du champ localisation de l'audit interne de suivi et de la formule pour récupérer la valeur</t>
  </si>
  <si>
    <t>Nombre de points obtenus calculé automatiquement</t>
  </si>
  <si>
    <t>Points obtenus</t>
  </si>
  <si>
    <t>Max points accessibles</t>
  </si>
  <si>
    <t>Nombre maximum de points accessibles calculé automatiquement</t>
  </si>
  <si>
    <t xml:space="preserve">     Max points accessibles</t>
  </si>
  <si>
    <t>Note : La campagne évaluée est la dernière campagne achevée à la date de l’audit</t>
  </si>
  <si>
    <r>
      <rPr>
        <b/>
        <i/>
        <sz val="11"/>
        <color theme="1"/>
        <rFont val="Calibri"/>
        <family val="2"/>
      </rPr>
      <t>Information</t>
    </r>
    <r>
      <rPr>
        <i/>
        <sz val="11"/>
        <color theme="1"/>
        <rFont val="Calibri"/>
        <family val="2"/>
        <scheme val="minor"/>
      </rPr>
      <t xml:space="preserve"> : </t>
    </r>
    <r>
      <rPr>
        <i/>
        <sz val="11"/>
        <color rgb="FFFF0000"/>
        <rFont val="Calibri"/>
        <family val="2"/>
        <scheme val="minor"/>
      </rPr>
      <t>Une méthode alternative remplace l'application d'1 dose d'1 produit phytopharmaceutique chimique.</t>
    </r>
  </si>
  <si>
    <t xml:space="preserve">Couverture sur la SAU hors viticulture, arboriculture et horticulture-pépinière </t>
  </si>
  <si>
    <t>jachères de 6 ans ou plus déclarées comme IAE</t>
  </si>
  <si>
    <t>Autres prairies permanentes dont jachères de 6 ans ou plus (hors celles déclarées IAE)</t>
  </si>
  <si>
    <t>Grandes cultures et prairies</t>
  </si>
  <si>
    <t>en %</t>
  </si>
  <si>
    <t>Surface couverte pour l’horticulture-pépinière (surfaces en cultures pleine terre sous abris incluses)</t>
  </si>
  <si>
    <t>Saisir cette cellule pour que les points de l'item soient calculés.</t>
  </si>
  <si>
    <t>Pour le calcul de l'IFT sur 2 ans, les IFT et les surfaces des campagnes N et N-1 doivent être saisies ; Pour le calcul de l'IFT sur 3 ans, les IFT et les surfaces des campagnes N, N-1 et N-2 doivent être saisies</t>
  </si>
  <si>
    <r>
      <t xml:space="preserve">Ajout de textes d'information dynamiques permettant d'identifier les données à saisir obligatoirement pour l'import dans Certibase
Ajout de 4 chiffres après la virgule pour tout ce qui concerne les surfaces
</t>
    </r>
    <r>
      <rPr>
        <sz val="11"/>
        <rFont val="Calibri"/>
        <family val="2"/>
        <scheme val="minor"/>
      </rPr>
      <t xml:space="preserve">Item Surfaces non-traitées : </t>
    </r>
    <r>
      <rPr>
        <sz val="11"/>
        <color rgb="FFFF0000"/>
        <rFont val="Calibri"/>
        <family val="2"/>
        <scheme val="minor"/>
      </rPr>
      <t xml:space="preserve">
- ajout de la condition que les surfaces réelles d'IAE incluses dans la SAU ne dépassent pas 5% de la SAU pour le calcul des points </t>
    </r>
    <r>
      <rPr>
        <sz val="11"/>
        <rFont val="Calibri"/>
        <family val="2"/>
        <scheme val="minor"/>
      </rPr>
      <t>;
- ajout d'un message d'attention lorsque les surfaces réelles d'IAE incluses dans la SAU dépassent 5% de la SAU.</t>
    </r>
    <r>
      <rPr>
        <sz val="11"/>
        <color theme="1"/>
        <rFont val="Calibri"/>
        <family val="2"/>
        <scheme val="minor"/>
      </rPr>
      <t xml:space="preserve">
Item IFT :
- modification du message d'information sur la condition d'utilisation de l'ancienne notation pour les grandes cultures ;
- ajout d'un texte d'information dynamique permettant d'identifier si la "sélection de l'ancienne notation" pour les grandes cultures doit être saisie ou non pour le calcul des points ;
- </t>
    </r>
    <r>
      <rPr>
        <sz val="11"/>
        <color rgb="FFFF0000"/>
        <rFont val="Calibri"/>
        <family val="2"/>
        <scheme val="minor"/>
      </rPr>
      <t>ajout de la condition de saisie de la cellule "sélection ancienne notation" pour le calcul des points en Grandes cultures</t>
    </r>
    <r>
      <rPr>
        <sz val="11"/>
        <color theme="1"/>
        <rFont val="Calibri"/>
        <family val="2"/>
        <scheme val="minor"/>
      </rPr>
      <t xml:space="preserve">.
Item Couvert végétal inter-rang : </t>
    </r>
    <r>
      <rPr>
        <sz val="11"/>
        <color rgb="FFFF0000"/>
        <rFont val="Calibri"/>
        <family val="2"/>
        <scheme val="minor"/>
      </rPr>
      <t>saisie des surfaces couvertes en % (=surface couverte en inter-rang / surface totale des inter-rangs) pour le calcul des points</t>
    </r>
  </si>
  <si>
    <t>Ajout de 4 chiffres après la virgule pour tout ce qui concerne les surfaces</t>
  </si>
  <si>
    <t>Ajout du champ Localisation dans le cas d'un audit interne de suivi par une structure collective 
Ajout de textes d'information dynamiques permettant d'identifier les données à saisir obligatoirement pour l'import dans Certibase
Mise en place d'un menu déroulant pour le choix de la campagne évaluée</t>
  </si>
  <si>
    <t xml:space="preserve">Ajout de 4 chiffres après la virgule pour tout ce qui concerne les surfaces
Information sur la saisie obligatoire de la SAU des campagnes N-1 et N-2 quand un calcul de l'IFT est réalisé sur 2 ou 3 ans
Remplacement du libellé "jachères de 6 ans ou plus déclarées comme SIE" par "jachères de 6 ans ou plus déclarées comme IAE"
Remplacement du libellé "Autres prairies permanentes dont jachères de 6 ans ou plus (hors celles déclarées SIE)" par "Autres prairies permanentes dont jachères de 6 ans ou plus (hors celles déclarées IAE)" </t>
  </si>
  <si>
    <r>
      <t xml:space="preserve">Ajout de 4 chiffres après la virgule pour tout ce qui concerne les surfaces
Item utilisation d'OAD : Modification de la catégorie "Grandes cultures" en "Grandes cultures et prairies"
Item Couverture des sols : </t>
    </r>
    <r>
      <rPr>
        <sz val="11"/>
        <color rgb="FFFF0000"/>
        <rFont val="Calibri"/>
        <family val="2"/>
        <scheme val="minor"/>
      </rPr>
      <t>saisie de la surface couverte pour l'horticulture-pépinière en %, surfaces en cultures pleine terre sous abri incluses (=[surface couverte en inter-rang + surface cultures pleine terre sous abri] / [surface totale des inter-rangs + surface totale cultures pleine terre sous abri]) pour le calcul des points</t>
    </r>
  </si>
  <si>
    <t>Ajout de textes d'information dynamiques permettant d'identifier les données à saisir obligatoirement pour l'import dans Certibase</t>
  </si>
  <si>
    <t>Certification environnementale Cognac - BNIC</t>
  </si>
  <si>
    <t>CEC BNIC</t>
  </si>
  <si>
    <t>v1.13</t>
  </si>
  <si>
    <t>Autoriser la saisie d'un siret commençant par 0 (zéro) pour l'exploitation et la structure collective.</t>
  </si>
  <si>
    <t>Mise à jour de la liste des démarches reconnues équivalentes au Niveau 2 de la Certification environnementale.</t>
  </si>
  <si>
    <t>v1.14</t>
  </si>
  <si>
    <t>Végétaux naturels (arbre, haie, bosquet, broussaille…)</t>
  </si>
  <si>
    <t>Modification du libellé de l'activité végétale "Grandes cultures : céréales, oléagineux, protéagineux, autres" en "Grandes cultures".</t>
  </si>
  <si>
    <t>Ajout du bloc Décision qui contient les champs "Date" et "Décision".
Ajout d'une note d'informations sur le cadre collectif.
Ajout d'une alerte si le type d'audit est Initial et la décision Refus
Le champ "Décision" est une liste déroulante conditionnée selon la valeur du type d'audit renseigné dans l'onglet Identification.
Modification de la formule de la cellule X10 pour renvoyer systématiquement la valeur de l'item CMR
Déplacement du message "AUDIT NON VALIDE" de la cellule X10 à la cellule V10 en cas d'utilisation de CMR1
Modification des formules des cellules X20, Z20, FN, FM et FU pour renvoyer systématiquement les totaux
Modification de la formule de la cellule GM pour renvoyer systématiquement le ratio
Simplification des formules des cellules liées à l'utilisation ou non de CMR1 (pas d'impact sur les calculs)</t>
  </si>
  <si>
    <t>Amélioration de la validation des données (listes déroulantes) pour la cellule Décision.</t>
  </si>
  <si>
    <t>Retrait des forêts dans les SNA pour ne pas pénaliser le calcul de l'item IAE.</t>
  </si>
  <si>
    <r>
      <rPr>
        <b/>
        <sz val="11"/>
        <color theme="1"/>
        <rFont val="Calibri"/>
        <family val="2"/>
        <scheme val="minor"/>
      </rPr>
      <t xml:space="preserve">Points de méthode et d'attention </t>
    </r>
    <r>
      <rPr>
        <sz val="11"/>
        <color theme="1"/>
        <rFont val="Calibri"/>
        <family val="2"/>
        <scheme val="minor"/>
      </rPr>
      <t xml:space="preserve">: 
</t>
    </r>
    <r>
      <rPr>
        <u/>
        <sz val="11"/>
        <color theme="1"/>
        <rFont val="Calibri"/>
        <family val="2"/>
        <scheme val="minor"/>
      </rPr>
      <t>France métropolitaine</t>
    </r>
    <r>
      <rPr>
        <sz val="11"/>
        <color theme="1"/>
        <rFont val="Calibri"/>
        <family val="2"/>
        <scheme val="minor"/>
      </rPr>
      <t xml:space="preserve"> : les valeurs de référence du système « Grandes cultures » sont calculées sur un « panier » de 15 espèces en 2017 et 2021 et 11 espèces en 2014 (cf. tableau annexe des déciles par région, espèce et campagne).
Les 15 espèces prises en compte en 2017 et 2021 sont les suivantes : betterave sucrière, blé dur, blé tendre, colza, maïs fourrage, maïs grain, orge, pois protéagineux, pomme de terre, tournesol, triticale, féverole, lin fibre, lin oléagineux et soja.
Les quatre dernières espèces n'ayant pas été enquêtées en 2014, elles ne sont pas prises en compte dans le panier de 2014.
</t>
    </r>
    <r>
      <rPr>
        <u/>
        <sz val="11"/>
        <color theme="1"/>
        <rFont val="Calibri"/>
        <family val="2"/>
        <scheme val="minor"/>
      </rPr>
      <t>Outre-Mer</t>
    </r>
    <r>
      <rPr>
        <sz val="11"/>
        <color theme="1"/>
        <rFont val="Calibri"/>
        <family val="2"/>
        <scheme val="minor"/>
      </rPr>
      <t xml:space="preserve"> : les valeurs de référence pour les DOM ne tiennent compte que de la culture canne à sucre. En Martinique, la canne à sucre n'ayant pas été enquêtée en 2014, les valeurs de référence sont constituées par la moyenne des valeurs de 2017 et 2021.</t>
    </r>
  </si>
  <si>
    <t xml:space="preserve">Cultures industrielles (hors pommes de terre) </t>
  </si>
  <si>
    <t>Autres cultures industrielles (canne à sucre, …)</t>
  </si>
  <si>
    <r>
      <t xml:space="preserve">Item IFT : </t>
    </r>
    <r>
      <rPr>
        <sz val="11"/>
        <color rgb="FFFF0000"/>
        <rFont val="Calibri"/>
        <family val="2"/>
        <scheme val="minor"/>
      </rPr>
      <t>Actualisation des formules de calcul des IFT de référence plancher et plafond pour les Grandes cultures d'Outre-mer.</t>
    </r>
  </si>
  <si>
    <t>Surfaces en canne à sucre à renseigner dans la cellule "Autres cultures industrielles".</t>
  </si>
  <si>
    <t>Ajout de références IFT pour les Grandes cultures d'Outre-Mer.</t>
  </si>
  <si>
    <t>Ajout des champs "Précision département" et "Bassin viticole corrigé" et "Bassin viticole utilisé pour le calcul de l'IFT"</t>
  </si>
  <si>
    <t>Précision département</t>
  </si>
  <si>
    <t>Bassin viticole associé au département du siège social de l'exploitation</t>
  </si>
  <si>
    <t>Bassin viticole utilisé pour le calcul de l'IFT</t>
  </si>
  <si>
    <t>87</t>
  </si>
  <si>
    <t>10</t>
  </si>
  <si>
    <t>11</t>
  </si>
  <si>
    <t>12</t>
  </si>
  <si>
    <t>67</t>
  </si>
  <si>
    <t>13</t>
  </si>
  <si>
    <t>14</t>
  </si>
  <si>
    <t>15</t>
  </si>
  <si>
    <t>16</t>
  </si>
  <si>
    <t>17</t>
  </si>
  <si>
    <t>18</t>
  </si>
  <si>
    <t>19</t>
  </si>
  <si>
    <t>21</t>
  </si>
  <si>
    <t>22</t>
  </si>
  <si>
    <t>23</t>
  </si>
  <si>
    <t>79</t>
  </si>
  <si>
    <t>24</t>
  </si>
  <si>
    <t>25</t>
  </si>
  <si>
    <t>26</t>
  </si>
  <si>
    <t>91</t>
  </si>
  <si>
    <t>27</t>
  </si>
  <si>
    <t>28</t>
  </si>
  <si>
    <t>29</t>
  </si>
  <si>
    <t>30</t>
  </si>
  <si>
    <t>32</t>
  </si>
  <si>
    <t>33</t>
  </si>
  <si>
    <t>971</t>
  </si>
  <si>
    <t>973</t>
  </si>
  <si>
    <t>31</t>
  </si>
  <si>
    <t>43</t>
  </si>
  <si>
    <t>52</t>
  </si>
  <si>
    <t>70</t>
  </si>
  <si>
    <t>74</t>
  </si>
  <si>
    <t>65</t>
  </si>
  <si>
    <t>68</t>
  </si>
  <si>
    <t>92</t>
  </si>
  <si>
    <t>34</t>
  </si>
  <si>
    <t>989</t>
  </si>
  <si>
    <t>35</t>
  </si>
  <si>
    <t>36</t>
  </si>
  <si>
    <t>37</t>
  </si>
  <si>
    <t>38</t>
  </si>
  <si>
    <t>39</t>
  </si>
  <si>
    <t>974</t>
  </si>
  <si>
    <t>40</t>
  </si>
  <si>
    <t>42</t>
  </si>
  <si>
    <t>44</t>
  </si>
  <si>
    <t>45</t>
  </si>
  <si>
    <t>41</t>
  </si>
  <si>
    <t>46</t>
  </si>
  <si>
    <t>47</t>
  </si>
  <si>
    <t>48</t>
  </si>
  <si>
    <t>49</t>
  </si>
  <si>
    <t>50</t>
  </si>
  <si>
    <t>51</t>
  </si>
  <si>
    <t>972</t>
  </si>
  <si>
    <t>53</t>
  </si>
  <si>
    <t>976</t>
  </si>
  <si>
    <t>54</t>
  </si>
  <si>
    <t>55</t>
  </si>
  <si>
    <t>56</t>
  </si>
  <si>
    <t>57</t>
  </si>
  <si>
    <t>58</t>
  </si>
  <si>
    <t>59</t>
  </si>
  <si>
    <t>988</t>
  </si>
  <si>
    <t>60</t>
  </si>
  <si>
    <t>61</t>
  </si>
  <si>
    <t>75</t>
  </si>
  <si>
    <t>62</t>
  </si>
  <si>
    <t>987</t>
  </si>
  <si>
    <t>63</t>
  </si>
  <si>
    <t>64</t>
  </si>
  <si>
    <t>66</t>
  </si>
  <si>
    <t>69</t>
  </si>
  <si>
    <t>977</t>
  </si>
  <si>
    <t>978</t>
  </si>
  <si>
    <t>975</t>
  </si>
  <si>
    <t>71</t>
  </si>
  <si>
    <t>72</t>
  </si>
  <si>
    <t>73</t>
  </si>
  <si>
    <t>77</t>
  </si>
  <si>
    <t>76</t>
  </si>
  <si>
    <t>93</t>
  </si>
  <si>
    <t>80</t>
  </si>
  <si>
    <t>81</t>
  </si>
  <si>
    <t>82</t>
  </si>
  <si>
    <t>984</t>
  </si>
  <si>
    <t>90</t>
  </si>
  <si>
    <t>94</t>
  </si>
  <si>
    <t>95</t>
  </si>
  <si>
    <t>83</t>
  </si>
  <si>
    <t>84</t>
  </si>
  <si>
    <t>85</t>
  </si>
  <si>
    <t>86</t>
  </si>
  <si>
    <t>88</t>
  </si>
  <si>
    <t>986</t>
  </si>
  <si>
    <t>89</t>
  </si>
  <si>
    <t>78</t>
  </si>
  <si>
    <r>
      <rPr>
        <i/>
        <sz val="11"/>
        <color theme="1"/>
        <rFont val="Calibri"/>
        <family val="2"/>
        <scheme val="minor"/>
      </rPr>
      <t>Bassin viticole corrigé</t>
    </r>
    <r>
      <rPr>
        <sz val="11"/>
        <color theme="1"/>
        <rFont val="Calibri"/>
        <family val="2"/>
        <scheme val="minor"/>
      </rPr>
      <t xml:space="preserve"> </t>
    </r>
    <r>
      <rPr>
        <i/>
        <sz val="11"/>
        <color theme="1"/>
        <rFont val="Calibri"/>
        <family val="2"/>
        <scheme val="minor"/>
      </rPr>
      <t>(si différent du bassin viticole du siège social)</t>
    </r>
  </si>
  <si>
    <t>Modification du champ "Bassin viticole référencé" par "Bassin viticole"</t>
  </si>
  <si>
    <t>Champ "Campagne évaluée" : ajout des années civiles (ex 2022-22)
Bloc "Identification de l'exploitation auditée" : 
Refonte ergonomique
Suppression des champs "Bassin viticole" et "Précision département"
Ajout du contrôle de cohérence lors de la saisie du code postal pour auto alimenter le champ "Département"</t>
  </si>
  <si>
    <t>9. Recyclage et traitement des eaux d'irrigation</t>
  </si>
  <si>
    <t>7. Recyclage et traitement des eaux d'irrigation</t>
  </si>
  <si>
    <t>Onglet Synthèse_coll_v1.04</t>
  </si>
  <si>
    <t>5. Surveillance</t>
  </si>
  <si>
    <t>Surfaces concernées par un système de recyclage et de traitement total</t>
  </si>
  <si>
    <t>Surfaces concernées par un système de recyclage et de traitement partiel</t>
  </si>
  <si>
    <t>Points obtenus Grandes cultures</t>
  </si>
  <si>
    <t>Points obtenus Vignes</t>
  </si>
  <si>
    <t>Points obtenus Arboriculture</t>
  </si>
  <si>
    <t>Ajout de 15 nouvelles colonnes (HR-&gt;IF)</t>
  </si>
  <si>
    <t>v1.15</t>
  </si>
  <si>
    <t>Cet onglet peut être utilisé pour alimenter les versions suivantes du fichier de synthèse du collectif : v1.05</t>
  </si>
  <si>
    <t>Bassins Viticoles corrigés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</si>
</sst>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 ###\ ###\ #####"/>
    <numFmt numFmtId="165" formatCode="_-* #,##0.00\ _€_-;\-* #,##0.00\ _€_-;_-* &quot;-&quot;??\ _€_-;_-@_-"/>
    <numFmt numFmtId="166" formatCode="[$£-809]#,##0.00;[Red]&quot;-&quot;[$£-809]#,##0.00"/>
    <numFmt numFmtId="167" formatCode="0#&quot; &quot;##&quot; &quot;##&quot; &quot;##&quot; &quot;##"/>
    <numFmt numFmtId="168" formatCode="0000\-00"/>
    <numFmt numFmtId="169" formatCode="#,##0;\-#,##0;"/>
    <numFmt numFmtId="170" formatCode="000\ 000\ 000\ 00000"/>
    <numFmt numFmtId="171" formatCode=";;;"/>
    <numFmt numFmtId="172" formatCode="0000000000"/>
    <numFmt numFmtId="173" formatCode="0.0"/>
    <numFmt numFmtId="174" formatCode="#,##0.0000"/>
    <numFmt numFmtId="175" formatCode="0.0000%"/>
    <numFmt numFmtId="176" formatCode="0.0000"/>
  </numFmts>
  <fonts count="73" x14ac:knownFonts="1">
    <font>
      <sz val="11"/>
      <color theme="1"/>
      <name val="Calibri"/>
      <family val="2"/>
      <scheme val="minor"/>
    </font>
    <font>
      <b/>
      <sz val="11"/>
      <color theme="0"/>
      <name val="Calibri"/>
      <family val="2"/>
      <scheme val="minor"/>
    </font>
    <font>
      <b/>
      <i/>
      <u/>
      <sz val="11"/>
      <color theme="1"/>
      <name val="Calibri"/>
      <family val="2"/>
      <scheme val="minor"/>
    </font>
    <font>
      <b/>
      <sz val="11"/>
      <color theme="1"/>
      <name val="Calibri"/>
      <family val="2"/>
      <scheme val="minor"/>
    </font>
    <font>
      <i/>
      <sz val="11"/>
      <color rgb="FFFF0000"/>
      <name val="Calibri"/>
      <family val="2"/>
      <scheme val="minor"/>
    </font>
    <font>
      <b/>
      <i/>
      <sz val="22"/>
      <color theme="9" tint="-0.499984740745262"/>
      <name val="Calibri"/>
      <family val="2"/>
      <scheme val="minor"/>
    </font>
    <font>
      <i/>
      <sz val="11"/>
      <color theme="1"/>
      <name val="Calibri"/>
      <family val="2"/>
      <scheme val="minor"/>
    </font>
    <font>
      <i/>
      <sz val="8"/>
      <color rgb="FFFF0000"/>
      <name val="Calibri"/>
      <family val="2"/>
      <scheme val="minor"/>
    </font>
    <font>
      <sz val="9"/>
      <color theme="1"/>
      <name val="Calibri"/>
      <family val="2"/>
      <scheme val="minor"/>
    </font>
    <font>
      <b/>
      <sz val="11"/>
      <color rgb="FFFF0000"/>
      <name val="Calibri"/>
      <family val="2"/>
      <scheme val="minor"/>
    </font>
    <font>
      <b/>
      <sz val="11"/>
      <color rgb="FFFF0000"/>
      <name val="Calibri"/>
      <family val="2"/>
    </font>
    <font>
      <sz val="11"/>
      <color theme="0"/>
      <name val="Calibri"/>
      <family val="2"/>
      <scheme val="minor"/>
    </font>
    <font>
      <b/>
      <i/>
      <sz val="11"/>
      <color theme="1"/>
      <name val="Calibri"/>
      <family val="2"/>
      <scheme val="minor"/>
    </font>
    <font>
      <b/>
      <i/>
      <sz val="12"/>
      <color theme="1"/>
      <name val="Calibri"/>
      <family val="2"/>
      <scheme val="minor"/>
    </font>
    <font>
      <i/>
      <sz val="9"/>
      <color rgb="FFFF0000"/>
      <name val="Calibri"/>
      <family val="2"/>
      <scheme val="minor"/>
    </font>
    <font>
      <sz val="8"/>
      <name val="Calibri"/>
      <family val="2"/>
      <scheme val="minor"/>
    </font>
    <font>
      <i/>
      <sz val="11"/>
      <color theme="0"/>
      <name val="Calibri"/>
      <family val="2"/>
      <scheme val="minor"/>
    </font>
    <font>
      <sz val="11"/>
      <color theme="1"/>
      <name val="Liberation Sans"/>
      <family val="2"/>
    </font>
    <font>
      <sz val="10"/>
      <name val="Arial"/>
      <family val="2"/>
    </font>
    <font>
      <b/>
      <sz val="11"/>
      <color theme="1"/>
      <name val="Calibri"/>
      <family val="2"/>
    </font>
    <font>
      <b/>
      <i/>
      <sz val="11"/>
      <color theme="1"/>
      <name val="Calibri"/>
      <family val="2"/>
    </font>
    <font>
      <sz val="11"/>
      <color theme="1"/>
      <name val="Calibri"/>
      <family val="2"/>
      <scheme val="minor"/>
    </font>
    <font>
      <sz val="11"/>
      <name val="Calibri"/>
      <family val="2"/>
      <scheme val="minor"/>
    </font>
    <font>
      <sz val="26"/>
      <name val="Calibri"/>
      <family val="2"/>
      <scheme val="minor"/>
    </font>
    <font>
      <sz val="11"/>
      <color rgb="FFFF0000"/>
      <name val="Calibri"/>
      <family val="2"/>
      <scheme val="minor"/>
    </font>
    <font>
      <u/>
      <sz val="11"/>
      <color theme="10"/>
      <name val="Calibri"/>
      <family val="2"/>
      <scheme val="minor"/>
    </font>
    <font>
      <i/>
      <sz val="11"/>
      <color theme="1"/>
      <name val="Calibri"/>
      <family val="2"/>
    </font>
    <font>
      <i/>
      <sz val="8"/>
      <color theme="1"/>
      <name val="Calibri"/>
      <family val="2"/>
      <scheme val="minor"/>
    </font>
    <font>
      <b/>
      <i/>
      <sz val="11"/>
      <name val="Calibri"/>
      <family val="2"/>
      <scheme val="minor"/>
    </font>
    <font>
      <i/>
      <sz val="9"/>
      <color theme="0"/>
      <name val="Calibri"/>
      <family val="2"/>
      <scheme val="minor"/>
    </font>
    <font>
      <b/>
      <sz val="11"/>
      <color rgb="FF000000"/>
      <name val="Calibri"/>
      <family val="2"/>
    </font>
    <font>
      <b/>
      <sz val="14"/>
      <color theme="1"/>
      <name val="Calibri"/>
      <family val="2"/>
      <scheme val="minor"/>
    </font>
    <font>
      <b/>
      <i/>
      <sz val="14"/>
      <color theme="1"/>
      <name val="Calibri"/>
      <family val="2"/>
      <scheme val="minor"/>
    </font>
    <font>
      <b/>
      <i/>
      <sz val="11"/>
      <color theme="0"/>
      <name val="Calibri"/>
      <family val="2"/>
      <scheme val="minor"/>
    </font>
    <font>
      <b/>
      <i/>
      <sz val="11"/>
      <color theme="0"/>
      <name val="Calibri"/>
      <family val="2"/>
    </font>
    <font>
      <b/>
      <sz val="11"/>
      <name val="Calibri"/>
      <family val="2"/>
      <scheme val="minor"/>
    </font>
    <font>
      <b/>
      <sz val="10"/>
      <name val="Arial"/>
      <family val="2"/>
    </font>
    <font>
      <sz val="14"/>
      <name val="Arial"/>
      <family val="2"/>
    </font>
    <font>
      <b/>
      <i/>
      <sz val="16"/>
      <color theme="1"/>
      <name val="Liberation Sans"/>
      <family val="2"/>
    </font>
    <font>
      <b/>
      <i/>
      <u/>
      <sz val="11"/>
      <color theme="1"/>
      <name val="Liberation Sans"/>
      <family val="2"/>
    </font>
    <font>
      <b/>
      <i/>
      <sz val="11"/>
      <color rgb="FFFF0000"/>
      <name val="Calibri"/>
      <family val="2"/>
      <scheme val="minor"/>
    </font>
    <font>
      <sz val="8"/>
      <color theme="1"/>
      <name val="Calibri"/>
      <family val="2"/>
      <scheme val="minor"/>
    </font>
    <font>
      <sz val="10"/>
      <color theme="1"/>
      <name val="Calibri"/>
      <family val="2"/>
      <scheme val="minor"/>
    </font>
    <font>
      <b/>
      <sz val="8.5"/>
      <color theme="1"/>
      <name val="Calibri"/>
      <family val="2"/>
    </font>
    <font>
      <sz val="10"/>
      <color rgb="FFFF0000"/>
      <name val="Calibri"/>
      <family val="2"/>
      <scheme val="minor"/>
    </font>
    <font>
      <b/>
      <sz val="10"/>
      <color theme="1"/>
      <name val="Liberation Sans"/>
      <family val="2"/>
    </font>
    <font>
      <b/>
      <sz val="11"/>
      <color theme="1"/>
      <name val="Liberation Sans"/>
      <family val="2"/>
    </font>
    <font>
      <b/>
      <i/>
      <sz val="22"/>
      <name val="Calibri"/>
      <family val="2"/>
      <scheme val="minor"/>
    </font>
    <font>
      <b/>
      <i/>
      <sz val="10"/>
      <color theme="1"/>
      <name val="Arial"/>
      <family val="2"/>
    </font>
    <font>
      <i/>
      <sz val="11"/>
      <color rgb="FFFF0000"/>
      <name val="Calibri"/>
      <family val="2"/>
    </font>
    <font>
      <b/>
      <i/>
      <sz val="11"/>
      <name val="Calibri"/>
      <family val="2"/>
    </font>
    <font>
      <i/>
      <sz val="11"/>
      <name val="Calibri"/>
      <family val="2"/>
      <scheme val="minor"/>
    </font>
    <font>
      <b/>
      <sz val="8.8000000000000007"/>
      <color theme="1"/>
      <name val="Calibri"/>
      <family val="2"/>
    </font>
    <font>
      <b/>
      <i/>
      <sz val="11"/>
      <color rgb="FFFF0000"/>
      <name val="Calibri"/>
      <family val="2"/>
    </font>
    <font>
      <u/>
      <sz val="11"/>
      <color theme="1"/>
      <name val="Calibri"/>
      <family val="2"/>
      <scheme val="minor"/>
    </font>
    <font>
      <sz val="14"/>
      <color theme="1"/>
      <name val="Calibri"/>
      <family val="2"/>
      <scheme val="minor"/>
    </font>
    <font>
      <sz val="8"/>
      <color theme="1"/>
      <name val="Arial"/>
      <family val="2"/>
    </font>
    <font>
      <b/>
      <sz val="8"/>
      <color theme="1"/>
      <name val="Arial"/>
      <family val="2"/>
    </font>
    <font>
      <b/>
      <sz val="8"/>
      <color theme="0"/>
      <name val="Arial"/>
      <family val="2"/>
    </font>
    <font>
      <b/>
      <sz val="8"/>
      <color rgb="FFFF0000"/>
      <name val="Arial"/>
      <family val="2"/>
    </font>
    <font>
      <i/>
      <u/>
      <sz val="11"/>
      <color theme="1"/>
      <name val="Calibri"/>
      <family val="2"/>
      <scheme val="minor"/>
    </font>
    <font>
      <sz val="8"/>
      <name val="Arial"/>
      <family val="2"/>
    </font>
    <font>
      <b/>
      <sz val="10"/>
      <color indexed="81"/>
      <name val="Tahoma"/>
      <family val="2"/>
    </font>
    <font>
      <sz val="10"/>
      <color indexed="81"/>
      <name val="Tahoma"/>
      <family val="2"/>
    </font>
    <font>
      <i/>
      <sz val="11"/>
      <color theme="5"/>
      <name val="Calibri"/>
      <family val="2"/>
      <scheme val="minor"/>
    </font>
    <font>
      <i/>
      <sz val="10"/>
      <color theme="5"/>
      <name val="Calibri"/>
      <family val="2"/>
      <scheme val="minor"/>
    </font>
    <font>
      <b/>
      <sz val="11"/>
      <color theme="5"/>
      <name val="Calibri"/>
      <family val="2"/>
      <scheme val="minor"/>
    </font>
    <font>
      <sz val="11"/>
      <color rgb="FFFF0000"/>
      <name val="Calibri"/>
      <family val="2"/>
    </font>
    <font>
      <sz val="9.35"/>
      <color rgb="FFFF0000"/>
      <name val="Calibri"/>
      <family val="2"/>
    </font>
    <font>
      <sz val="9"/>
      <color theme="0"/>
      <name val="Calibri"/>
      <family val="2"/>
      <scheme val="minor"/>
    </font>
    <font>
      <sz val="11"/>
      <color rgb="FF000000"/>
      <name val="Calibri"/>
      <family val="2"/>
    </font>
    <font>
      <sz val="10"/>
      <color rgb="FF000000"/>
      <name val="Arial"/>
      <family val="2"/>
    </font>
    <font>
      <sz val="10"/>
      <name val="Calibri"/>
      <family val="2"/>
      <scheme val="minor"/>
    </font>
  </fonts>
  <fills count="43">
    <fill>
      <patternFill patternType="none"/>
    </fill>
    <fill>
      <patternFill patternType="gray125"/>
    </fill>
    <fill>
      <patternFill patternType="solid">
        <fgColor theme="1"/>
        <bgColor indexed="64"/>
      </patternFill>
    </fill>
    <fill>
      <patternFill patternType="solid">
        <fgColor theme="3" tint="-0.249977111117893"/>
        <bgColor indexed="64"/>
      </patternFill>
    </fill>
    <fill>
      <patternFill patternType="solid">
        <fgColor theme="3" tint="0.59999389629810485"/>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8" tint="0.79998168889431442"/>
        <bgColor indexed="64"/>
      </patternFill>
    </fill>
    <fill>
      <patternFill patternType="solid">
        <fgColor theme="9" tint="-0.249977111117893"/>
        <bgColor indexed="64"/>
      </patternFill>
    </fill>
    <fill>
      <patternFill patternType="solid">
        <fgColor theme="3" tint="0.79998168889431442"/>
        <bgColor indexed="64"/>
      </patternFill>
    </fill>
    <fill>
      <patternFill patternType="solid">
        <fgColor theme="9" tint="-0.49998474074526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7" tint="-0.499984740745262"/>
        <bgColor indexed="64"/>
      </patternFill>
    </fill>
    <fill>
      <patternFill patternType="solid">
        <fgColor theme="7" tint="-0.249977111117893"/>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8" tint="0.39997558519241921"/>
        <bgColor indexed="64"/>
      </patternFill>
    </fill>
    <fill>
      <patternFill patternType="solid">
        <fgColor rgb="FFFF5050"/>
        <bgColor indexed="64"/>
      </patternFill>
    </fill>
    <fill>
      <patternFill patternType="solid">
        <fgColor rgb="FFFFCCCC"/>
        <bgColor indexed="64"/>
      </patternFill>
    </fill>
    <fill>
      <patternFill patternType="solid">
        <fgColor rgb="FFFF9999"/>
        <bgColor indexed="64"/>
      </patternFill>
    </fill>
    <fill>
      <patternFill patternType="solid">
        <fgColor rgb="FF800000"/>
        <bgColor indexed="64"/>
      </patternFill>
    </fill>
    <fill>
      <patternFill patternType="solid">
        <fgColor rgb="FFCC0000"/>
        <bgColor indexed="64"/>
      </patternFill>
    </fill>
    <fill>
      <patternFill patternType="solid">
        <fgColor theme="0" tint="-0.14999847407452621"/>
        <bgColor indexed="64"/>
      </patternFill>
    </fill>
    <fill>
      <patternFill patternType="lightUp">
        <bgColor theme="0" tint="-0.14996795556505021"/>
      </patternFill>
    </fill>
    <fill>
      <patternFill patternType="solid">
        <fgColor rgb="FFFFC000"/>
        <bgColor indexed="64"/>
      </patternFill>
    </fill>
    <fill>
      <patternFill patternType="solid">
        <fgColor theme="5" tint="0.79998168889431442"/>
        <bgColor indexed="64"/>
      </patternFill>
    </fill>
    <fill>
      <patternFill patternType="solid">
        <fgColor theme="0"/>
        <bgColor indexed="64"/>
      </patternFill>
    </fill>
    <fill>
      <patternFill patternType="lightUp">
        <bgColor theme="9" tint="-0.249977111117893"/>
      </patternFill>
    </fill>
    <fill>
      <patternFill patternType="solid">
        <fgColor theme="5" tint="-0.499984740745262"/>
        <bgColor indexed="64"/>
      </patternFill>
    </fill>
    <fill>
      <patternFill patternType="solid">
        <fgColor theme="5" tint="0.59999389629810485"/>
        <bgColor indexed="64"/>
      </patternFill>
    </fill>
    <fill>
      <patternFill patternType="solid">
        <fgColor theme="2"/>
        <bgColor indexed="64"/>
      </patternFill>
    </fill>
    <fill>
      <patternFill patternType="solid">
        <fgColor theme="0" tint="-0.249977111117893"/>
        <bgColor indexed="64"/>
      </patternFill>
    </fill>
    <fill>
      <patternFill patternType="solid">
        <fgColor indexed="51"/>
        <bgColor indexed="64"/>
      </patternFill>
    </fill>
    <fill>
      <patternFill patternType="solid">
        <fgColor indexed="41"/>
        <bgColor indexed="64"/>
      </patternFill>
    </fill>
    <fill>
      <patternFill patternType="solid">
        <fgColor rgb="FF7030A0"/>
        <bgColor indexed="64"/>
      </patternFill>
    </fill>
    <fill>
      <patternFill patternType="solid">
        <fgColor rgb="FFD8A2F6"/>
        <bgColor indexed="64"/>
      </patternFill>
    </fill>
    <fill>
      <patternFill patternType="solid">
        <fgColor theme="9" tint="0.39994506668294322"/>
        <bgColor indexed="64"/>
      </patternFill>
    </fill>
  </fills>
  <borders count="19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theme="3"/>
      </left>
      <right/>
      <top style="medium">
        <color theme="3"/>
      </top>
      <bottom/>
      <diagonal/>
    </border>
    <border>
      <left/>
      <right/>
      <top style="medium">
        <color theme="3"/>
      </top>
      <bottom/>
      <diagonal/>
    </border>
    <border>
      <left style="medium">
        <color theme="3"/>
      </left>
      <right/>
      <top/>
      <bottom/>
      <diagonal/>
    </border>
    <border>
      <left style="medium">
        <color theme="3"/>
      </left>
      <right/>
      <top/>
      <bottom style="medium">
        <color theme="3"/>
      </bottom>
      <diagonal/>
    </border>
    <border>
      <left/>
      <right/>
      <top/>
      <bottom style="medium">
        <color theme="3"/>
      </bottom>
      <diagonal/>
    </border>
    <border>
      <left/>
      <right/>
      <top style="thin">
        <color auto="1"/>
      </top>
      <bottom style="thin">
        <color auto="1"/>
      </bottom>
      <diagonal/>
    </border>
    <border>
      <left style="medium">
        <color theme="3" tint="-0.499984740745262"/>
      </left>
      <right/>
      <top style="medium">
        <color theme="3" tint="-0.499984740745262"/>
      </top>
      <bottom/>
      <diagonal/>
    </border>
    <border>
      <left/>
      <right/>
      <top style="medium">
        <color theme="3" tint="-0.499984740745262"/>
      </top>
      <bottom/>
      <diagonal/>
    </border>
    <border>
      <left/>
      <right style="medium">
        <color theme="3" tint="-0.499984740745262"/>
      </right>
      <top style="medium">
        <color theme="3" tint="-0.499984740745262"/>
      </top>
      <bottom/>
      <diagonal/>
    </border>
    <border>
      <left style="medium">
        <color theme="3" tint="-0.499984740745262"/>
      </left>
      <right/>
      <top/>
      <bottom/>
      <diagonal/>
    </border>
    <border>
      <left/>
      <right style="medium">
        <color theme="3" tint="-0.499984740745262"/>
      </right>
      <top/>
      <bottom/>
      <diagonal/>
    </border>
    <border>
      <left style="medium">
        <color theme="3" tint="-0.499984740745262"/>
      </left>
      <right/>
      <top/>
      <bottom style="medium">
        <color theme="3" tint="-0.499984740745262"/>
      </bottom>
      <diagonal/>
    </border>
    <border>
      <left/>
      <right/>
      <top/>
      <bottom style="medium">
        <color theme="3" tint="-0.499984740745262"/>
      </bottom>
      <diagonal/>
    </border>
    <border>
      <left/>
      <right style="medium">
        <color theme="3" tint="-0.499984740745262"/>
      </right>
      <top/>
      <bottom style="medium">
        <color theme="3" tint="-0.499984740745262"/>
      </bottom>
      <diagonal/>
    </border>
    <border>
      <left style="thin">
        <color indexed="64"/>
      </left>
      <right/>
      <top/>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theme="9" tint="-0.499984740745262"/>
      </left>
      <right/>
      <top style="medium">
        <color theme="9" tint="-0.499984740745262"/>
      </top>
      <bottom/>
      <diagonal/>
    </border>
    <border>
      <left/>
      <right/>
      <top style="medium">
        <color theme="9" tint="-0.499984740745262"/>
      </top>
      <bottom/>
      <diagonal/>
    </border>
    <border>
      <left/>
      <right style="medium">
        <color theme="9" tint="-0.499984740745262"/>
      </right>
      <top style="medium">
        <color theme="9" tint="-0.499984740745262"/>
      </top>
      <bottom/>
      <diagonal/>
    </border>
    <border>
      <left style="medium">
        <color theme="9" tint="-0.499984740745262"/>
      </left>
      <right/>
      <top/>
      <bottom/>
      <diagonal/>
    </border>
    <border>
      <left/>
      <right style="medium">
        <color theme="9" tint="-0.499984740745262"/>
      </right>
      <top/>
      <bottom/>
      <diagonal/>
    </border>
    <border>
      <left style="medium">
        <color theme="9" tint="-0.499984740745262"/>
      </left>
      <right/>
      <top/>
      <bottom style="medium">
        <color theme="9" tint="-0.499984740745262"/>
      </bottom>
      <diagonal/>
    </border>
    <border>
      <left/>
      <right/>
      <top/>
      <bottom style="medium">
        <color theme="9" tint="-0.499984740745262"/>
      </bottom>
      <diagonal/>
    </border>
    <border>
      <left/>
      <right style="medium">
        <color theme="9" tint="-0.499984740745262"/>
      </right>
      <top/>
      <bottom style="medium">
        <color theme="9" tint="-0.499984740745262"/>
      </bottom>
      <diagonal/>
    </border>
    <border>
      <left/>
      <right/>
      <top/>
      <bottom style="dashed">
        <color auto="1"/>
      </bottom>
      <diagonal/>
    </border>
    <border>
      <left/>
      <right/>
      <top/>
      <bottom style="hair">
        <color auto="1"/>
      </bottom>
      <diagonal/>
    </border>
    <border>
      <left/>
      <right/>
      <top style="hair">
        <color auto="1"/>
      </top>
      <bottom style="hair">
        <color auto="1"/>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bottom style="dashed">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dashed">
        <color auto="1"/>
      </left>
      <right/>
      <top style="dashed">
        <color auto="1"/>
      </top>
      <bottom/>
      <diagonal/>
    </border>
    <border>
      <left/>
      <right/>
      <top style="dashed">
        <color auto="1"/>
      </top>
      <bottom/>
      <diagonal/>
    </border>
    <border>
      <left/>
      <right style="dashed">
        <color auto="1"/>
      </right>
      <top style="dashed">
        <color auto="1"/>
      </top>
      <bottom/>
      <diagonal/>
    </border>
    <border>
      <left style="dashed">
        <color auto="1"/>
      </left>
      <right/>
      <top/>
      <bottom style="hair">
        <color auto="1"/>
      </bottom>
      <diagonal/>
    </border>
    <border>
      <left/>
      <right style="dashed">
        <color auto="1"/>
      </right>
      <top/>
      <bottom/>
      <diagonal/>
    </border>
    <border>
      <left style="dashed">
        <color auto="1"/>
      </left>
      <right/>
      <top style="hair">
        <color auto="1"/>
      </top>
      <bottom style="hair">
        <color auto="1"/>
      </bottom>
      <diagonal/>
    </border>
    <border>
      <left style="dashed">
        <color auto="1"/>
      </left>
      <right/>
      <top/>
      <bottom style="dashed">
        <color auto="1"/>
      </bottom>
      <diagonal/>
    </border>
    <border>
      <left/>
      <right style="dashed">
        <color auto="1"/>
      </right>
      <top/>
      <bottom style="dashed">
        <color auto="1"/>
      </bottom>
      <diagonal/>
    </border>
    <border>
      <left style="thin">
        <color indexed="64"/>
      </left>
      <right/>
      <top/>
      <bottom style="hair">
        <color auto="1"/>
      </bottom>
      <diagonal/>
    </border>
    <border>
      <left/>
      <right/>
      <top style="hair">
        <color auto="1"/>
      </top>
      <bottom style="dashed">
        <color auto="1"/>
      </bottom>
      <diagonal/>
    </border>
    <border>
      <left style="dashed">
        <color auto="1"/>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medium">
        <color auto="1"/>
      </top>
      <bottom/>
      <diagonal/>
    </border>
    <border>
      <left/>
      <right/>
      <top/>
      <bottom style="dotted">
        <color auto="1"/>
      </bottom>
      <diagonal/>
    </border>
    <border>
      <left/>
      <right/>
      <top style="dotted">
        <color auto="1"/>
      </top>
      <bottom style="dotted">
        <color auto="1"/>
      </bottom>
      <diagonal/>
    </border>
    <border>
      <left/>
      <right/>
      <top style="medium">
        <color theme="4" tint="-0.499984740745262"/>
      </top>
      <bottom style="thin">
        <color auto="1"/>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right/>
      <top style="thin">
        <color auto="1"/>
      </top>
      <bottom style="thin">
        <color auto="1"/>
      </bottom>
      <diagonal/>
    </border>
    <border>
      <left style="thin">
        <color indexed="64"/>
      </left>
      <right style="medium">
        <color indexed="64"/>
      </right>
      <top style="thin">
        <color indexed="64"/>
      </top>
      <bottom style="thin">
        <color indexed="64"/>
      </bottom>
      <diagonal/>
    </border>
    <border>
      <left style="thin">
        <color auto="1"/>
      </left>
      <right style="medium">
        <color indexed="64"/>
      </right>
      <top style="medium">
        <color auto="1"/>
      </top>
      <bottom style="thin">
        <color indexed="64"/>
      </bottom>
      <diagonal/>
    </border>
    <border>
      <left style="thin">
        <color auto="1"/>
      </left>
      <right style="thin">
        <color auto="1"/>
      </right>
      <top style="medium">
        <color auto="1"/>
      </top>
      <bottom style="thin">
        <color indexed="64"/>
      </bottom>
      <diagonal/>
    </border>
    <border>
      <left/>
      <right/>
      <top style="dotted">
        <color auto="1"/>
      </top>
      <bottom/>
      <diagonal/>
    </border>
    <border>
      <left style="dotted">
        <color auto="1"/>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style="dotted">
        <color auto="1"/>
      </right>
      <top/>
      <bottom style="dotted">
        <color auto="1"/>
      </bottom>
      <diagonal/>
    </border>
    <border>
      <left style="thin">
        <color auto="1"/>
      </left>
      <right/>
      <top/>
      <bottom style="medium">
        <color auto="1"/>
      </bottom>
      <diagonal/>
    </border>
    <border>
      <left/>
      <right/>
      <top style="hair">
        <color auto="1"/>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right/>
      <top style="thin">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medium">
        <color indexed="64"/>
      </top>
      <bottom style="thin">
        <color indexed="64"/>
      </bottom>
      <diagonal/>
    </border>
    <border>
      <left/>
      <right/>
      <top style="thin">
        <color auto="1"/>
      </top>
      <bottom style="dashed">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style="thin">
        <color rgb="FF000000"/>
      </right>
      <top/>
      <bottom style="thin">
        <color rgb="FF000000"/>
      </bottom>
      <diagonal/>
    </border>
    <border>
      <left style="thin">
        <color rgb="FF000000"/>
      </left>
      <right style="thick">
        <color auto="1"/>
      </right>
      <top/>
      <bottom style="thin">
        <color rgb="FF000000"/>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rgb="FF000000"/>
      </right>
      <top/>
      <bottom style="thin">
        <color rgb="FF000000"/>
      </bottom>
      <diagonal/>
    </border>
    <border>
      <left style="thin">
        <color rgb="FF000000"/>
      </left>
      <right style="medium">
        <color auto="1"/>
      </right>
      <top/>
      <bottom style="thin">
        <color rgb="FF000000"/>
      </bottom>
      <diagonal/>
    </border>
    <border>
      <left style="thick">
        <color auto="1"/>
      </left>
      <right/>
      <top style="medium">
        <color auto="1"/>
      </top>
      <bottom style="thin">
        <color auto="1"/>
      </bottom>
      <diagonal/>
    </border>
    <border>
      <left/>
      <right style="thick">
        <color auto="1"/>
      </right>
      <top style="medium">
        <color auto="1"/>
      </top>
      <bottom style="thin">
        <color auto="1"/>
      </bottom>
      <diagonal/>
    </border>
    <border>
      <left/>
      <right style="medium">
        <color indexed="64"/>
      </right>
      <top/>
      <bottom style="thick">
        <color auto="1"/>
      </bottom>
      <diagonal/>
    </border>
    <border>
      <left style="medium">
        <color indexed="64"/>
      </left>
      <right/>
      <top/>
      <bottom style="thick">
        <color auto="1"/>
      </bottom>
      <diagonal/>
    </border>
    <border>
      <left style="thin">
        <color indexed="64"/>
      </left>
      <right style="medium">
        <color auto="1"/>
      </right>
      <top style="thin">
        <color indexed="64"/>
      </top>
      <bottom style="double">
        <color indexed="64"/>
      </bottom>
      <diagonal/>
    </border>
    <border>
      <left style="thin">
        <color indexed="64"/>
      </left>
      <right style="medium">
        <color auto="1"/>
      </right>
      <top/>
      <bottom style="thin">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double">
        <color indexed="64"/>
      </bottom>
      <diagonal/>
    </border>
    <border>
      <left style="thin">
        <color indexed="64"/>
      </left>
      <right style="thick">
        <color indexed="64"/>
      </right>
      <top style="thin">
        <color indexed="64"/>
      </top>
      <bottom style="double">
        <color indexed="64"/>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n">
        <color indexed="64"/>
      </right>
      <top style="thin">
        <color indexed="64"/>
      </top>
      <bottom style="thin">
        <color indexed="64"/>
      </bottom>
      <diagonal/>
    </border>
    <border>
      <left style="dashDot">
        <color auto="1"/>
      </left>
      <right/>
      <top style="dashDot">
        <color auto="1"/>
      </top>
      <bottom/>
      <diagonal/>
    </border>
    <border>
      <left/>
      <right/>
      <top style="dashDot">
        <color auto="1"/>
      </top>
      <bottom/>
      <diagonal/>
    </border>
    <border>
      <left/>
      <right style="dashDot">
        <color auto="1"/>
      </right>
      <top style="dashDot">
        <color auto="1"/>
      </top>
      <bottom/>
      <diagonal/>
    </border>
    <border>
      <left style="dashDot">
        <color auto="1"/>
      </left>
      <right/>
      <top/>
      <bottom/>
      <diagonal/>
    </border>
    <border>
      <left/>
      <right style="dashDot">
        <color auto="1"/>
      </right>
      <top/>
      <bottom/>
      <diagonal/>
    </border>
    <border>
      <left style="dashDot">
        <color auto="1"/>
      </left>
      <right/>
      <top/>
      <bottom style="dashDot">
        <color auto="1"/>
      </bottom>
      <diagonal/>
    </border>
    <border>
      <left/>
      <right/>
      <top/>
      <bottom style="dashDot">
        <color auto="1"/>
      </bottom>
      <diagonal/>
    </border>
    <border>
      <left/>
      <right style="dashDot">
        <color auto="1"/>
      </right>
      <top/>
      <bottom style="dashDot">
        <color auto="1"/>
      </bottom>
      <diagonal/>
    </border>
    <border>
      <left/>
      <right style="medium">
        <color auto="1"/>
      </right>
      <top style="thin">
        <color auto="1"/>
      </top>
      <bottom/>
      <diagonal/>
    </border>
    <border>
      <left style="thin">
        <color auto="1"/>
      </left>
      <right/>
      <top style="medium">
        <color indexed="64"/>
      </top>
      <bottom style="thin">
        <color auto="1"/>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rgb="FF800000"/>
      </left>
      <right/>
      <top style="medium">
        <color rgb="FF800000"/>
      </top>
      <bottom/>
      <diagonal/>
    </border>
    <border>
      <left/>
      <right/>
      <top style="medium">
        <color rgb="FF800000"/>
      </top>
      <bottom/>
      <diagonal/>
    </border>
    <border>
      <left/>
      <right style="medium">
        <color rgb="FF800000"/>
      </right>
      <top style="medium">
        <color rgb="FF800000"/>
      </top>
      <bottom/>
      <diagonal/>
    </border>
    <border>
      <left style="medium">
        <color rgb="FF800000"/>
      </left>
      <right/>
      <top/>
      <bottom/>
      <diagonal/>
    </border>
    <border>
      <left/>
      <right style="medium">
        <color rgb="FF800000"/>
      </right>
      <top/>
      <bottom/>
      <diagonal/>
    </border>
    <border>
      <left style="medium">
        <color rgb="FF800000"/>
      </left>
      <right/>
      <top/>
      <bottom style="medium">
        <color rgb="FF800000"/>
      </bottom>
      <diagonal/>
    </border>
    <border>
      <left/>
      <right/>
      <top/>
      <bottom style="medium">
        <color rgb="FF800000"/>
      </bottom>
      <diagonal/>
    </border>
    <border>
      <left/>
      <right style="medium">
        <color rgb="FF800000"/>
      </right>
      <top/>
      <bottom style="medium">
        <color rgb="FF800000"/>
      </bottom>
      <diagonal/>
    </border>
    <border>
      <left style="dashed">
        <color auto="1"/>
      </left>
      <right/>
      <top style="hair">
        <color auto="1"/>
      </top>
      <bottom/>
      <diagonal/>
    </border>
    <border>
      <left style="medium">
        <color indexed="64"/>
      </left>
      <right/>
      <top style="thin">
        <color auto="1"/>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ck">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ck">
        <color indexed="64"/>
      </right>
      <top style="double">
        <color indexed="64"/>
      </top>
      <bottom style="double">
        <color indexed="64"/>
      </bottom>
      <diagonal/>
    </border>
    <border>
      <left style="thick">
        <color rgb="FFFF0000"/>
      </left>
      <right/>
      <top/>
      <bottom/>
      <diagonal/>
    </border>
    <border>
      <left style="medium">
        <color indexed="64"/>
      </left>
      <right style="thin">
        <color indexed="64"/>
      </right>
      <top style="double">
        <color indexed="64"/>
      </top>
      <bottom style="thin">
        <color indexed="64"/>
      </bottom>
      <diagonal/>
    </border>
    <border>
      <left/>
      <right style="medium">
        <color indexed="64"/>
      </right>
      <top style="thin">
        <color auto="1"/>
      </top>
      <bottom style="medium">
        <color indexed="64"/>
      </bottom>
      <diagonal/>
    </border>
    <border>
      <left style="thin">
        <color indexed="64"/>
      </left>
      <right style="thin">
        <color indexed="64"/>
      </right>
      <top/>
      <bottom/>
      <diagonal/>
    </border>
    <border>
      <left/>
      <right style="thin">
        <color indexed="64"/>
      </right>
      <top style="hair">
        <color auto="1"/>
      </top>
      <bottom/>
      <diagonal/>
    </border>
    <border>
      <left/>
      <right style="thick">
        <color indexed="64"/>
      </right>
      <top style="thin">
        <color auto="1"/>
      </top>
      <bottom/>
      <diagonal/>
    </border>
    <border>
      <left/>
      <right style="thin">
        <color auto="1"/>
      </right>
      <top style="medium">
        <color indexed="64"/>
      </top>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top style="thin">
        <color indexed="64"/>
      </top>
      <bottom style="thick">
        <color indexed="64"/>
      </bottom>
      <diagonal/>
    </border>
    <border>
      <left/>
      <right style="thin">
        <color indexed="64"/>
      </right>
      <top/>
      <bottom style="thick">
        <color indexed="64"/>
      </bottom>
      <diagonal/>
    </border>
    <border>
      <left/>
      <right/>
      <top style="thick">
        <color indexed="64"/>
      </top>
      <bottom style="thin">
        <color auto="1"/>
      </bottom>
      <diagonal/>
    </border>
    <border>
      <left/>
      <right style="thin">
        <color auto="1"/>
      </right>
      <top style="thick">
        <color indexed="64"/>
      </top>
      <bottom style="thin">
        <color auto="1"/>
      </bottom>
      <diagonal/>
    </border>
    <border>
      <left style="thin">
        <color indexed="64"/>
      </left>
      <right style="thick">
        <color indexed="64"/>
      </right>
      <top style="thick">
        <color indexed="64"/>
      </top>
      <bottom style="thin">
        <color auto="1"/>
      </bottom>
      <diagonal/>
    </border>
    <border>
      <left/>
      <right style="thin">
        <color indexed="64"/>
      </right>
      <top style="thin">
        <color indexed="64"/>
      </top>
      <bottom style="thick">
        <color indexed="64"/>
      </bottom>
      <diagonal/>
    </border>
    <border>
      <left/>
      <right style="thin">
        <color indexed="64"/>
      </right>
      <top style="thick">
        <color auto="1"/>
      </top>
      <bottom/>
      <diagonal/>
    </border>
    <border>
      <left style="medium">
        <color indexed="64"/>
      </left>
      <right style="medium">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s>
  <cellStyleXfs count="12">
    <xf numFmtId="0" fontId="0" fillId="0" borderId="0"/>
    <xf numFmtId="0" fontId="17" fillId="0" borderId="0"/>
    <xf numFmtId="9" fontId="21" fillId="0" borderId="0" applyFont="0" applyFill="0" applyBorder="0" applyAlignment="0" applyProtection="0"/>
    <xf numFmtId="0" fontId="25" fillId="0" borderId="0" applyNumberFormat="0" applyFill="0" applyBorder="0" applyAlignment="0" applyProtection="0"/>
    <xf numFmtId="0" fontId="18" fillId="0" borderId="0"/>
    <xf numFmtId="0" fontId="38" fillId="0" borderId="0">
      <alignment horizontal="center"/>
    </xf>
    <xf numFmtId="0" fontId="38" fillId="0" borderId="0">
      <alignment horizontal="center" textRotation="90"/>
    </xf>
    <xf numFmtId="165" fontId="18" fillId="0" borderId="0" applyFont="0" applyFill="0" applyBorder="0" applyAlignment="0" applyProtection="0"/>
    <xf numFmtId="9" fontId="18" fillId="0" borderId="0" applyFont="0" applyFill="0" applyBorder="0" applyAlignment="0" applyProtection="0"/>
    <xf numFmtId="0" fontId="39" fillId="0" borderId="0"/>
    <xf numFmtId="166" fontId="39" fillId="0" borderId="0"/>
    <xf numFmtId="0" fontId="70" fillId="0" borderId="0"/>
  </cellStyleXfs>
  <cellXfs count="1155">
    <xf numFmtId="0" fontId="0" fillId="0" borderId="0" xfId="0"/>
    <xf numFmtId="0" fontId="1" fillId="2" borderId="0" xfId="0" applyFont="1" applyFill="1"/>
    <xf numFmtId="0" fontId="2" fillId="0" borderId="0" xfId="0" applyFont="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0" fontId="4" fillId="0" borderId="0" xfId="0" quotePrefix="1" applyFont="1"/>
    <xf numFmtId="0" fontId="0" fillId="0" borderId="24" xfId="0" applyBorder="1"/>
    <xf numFmtId="0" fontId="0" fillId="0" borderId="25" xfId="0" applyBorder="1"/>
    <xf numFmtId="0" fontId="0" fillId="0" borderId="26" xfId="0" applyBorder="1"/>
    <xf numFmtId="0" fontId="0" fillId="0" borderId="23" xfId="0" applyBorder="1" applyAlignment="1">
      <alignment vertical="top"/>
    </xf>
    <xf numFmtId="0" fontId="0" fillId="3" borderId="0" xfId="0" applyFill="1"/>
    <xf numFmtId="0" fontId="5" fillId="0" borderId="0" xfId="0" applyFont="1"/>
    <xf numFmtId="0" fontId="0" fillId="0" borderId="34" xfId="0" applyBorder="1"/>
    <xf numFmtId="0" fontId="0" fillId="0" borderId="35" xfId="0" applyBorder="1"/>
    <xf numFmtId="0" fontId="0" fillId="0" borderId="36" xfId="0" applyBorder="1"/>
    <xf numFmtId="0" fontId="0" fillId="0" borderId="37" xfId="0" applyBorder="1"/>
    <xf numFmtId="0" fontId="0" fillId="0" borderId="38" xfId="0" applyBorder="1"/>
    <xf numFmtId="0" fontId="0" fillId="0" borderId="39" xfId="0" applyBorder="1"/>
    <xf numFmtId="0" fontId="0" fillId="0" borderId="40" xfId="0" applyBorder="1"/>
    <xf numFmtId="0" fontId="0" fillId="0" borderId="41" xfId="0" applyBorder="1"/>
    <xf numFmtId="0" fontId="0" fillId="0" borderId="0" xfId="0" applyAlignment="1">
      <alignment horizontal="center"/>
    </xf>
    <xf numFmtId="0" fontId="0" fillId="0" borderId="1" xfId="0" applyBorder="1" applyAlignment="1">
      <alignment horizontal="center"/>
    </xf>
    <xf numFmtId="0" fontId="3" fillId="0" borderId="0" xfId="0" applyFont="1" applyAlignment="1">
      <alignment horizontal="left"/>
    </xf>
    <xf numFmtId="0" fontId="3" fillId="0" borderId="42" xfId="0" applyFont="1" applyBorder="1"/>
    <xf numFmtId="0" fontId="0" fillId="0" borderId="42" xfId="0" applyBorder="1"/>
    <xf numFmtId="0" fontId="3" fillId="0" borderId="0" xfId="0" applyFont="1" applyAlignment="1">
      <alignment horizontal="center"/>
    </xf>
    <xf numFmtId="0" fontId="3" fillId="0" borderId="0" xfId="0" applyFont="1"/>
    <xf numFmtId="0" fontId="0" fillId="0" borderId="45" xfId="0" applyBorder="1"/>
    <xf numFmtId="0" fontId="0" fillId="0" borderId="46" xfId="0" applyBorder="1"/>
    <xf numFmtId="0" fontId="0" fillId="0" borderId="47" xfId="0" applyBorder="1"/>
    <xf numFmtId="0" fontId="7" fillId="0" borderId="20" xfId="0" applyFont="1" applyBorder="1"/>
    <xf numFmtId="0" fontId="0" fillId="0" borderId="43" xfId="0" applyBorder="1"/>
    <xf numFmtId="0" fontId="0" fillId="0" borderId="44" xfId="0" applyBorder="1"/>
    <xf numFmtId="0" fontId="8" fillId="0" borderId="0" xfId="0" applyFont="1"/>
    <xf numFmtId="0" fontId="0" fillId="0" borderId="50" xfId="0" applyBorder="1"/>
    <xf numFmtId="0" fontId="0" fillId="0" borderId="52" xfId="0" applyBorder="1"/>
    <xf numFmtId="0" fontId="0" fillId="0" borderId="56" xfId="0" applyBorder="1"/>
    <xf numFmtId="0" fontId="0" fillId="0" borderId="57" xfId="0" applyBorder="1"/>
    <xf numFmtId="0" fontId="0" fillId="0" borderId="58" xfId="0" applyBorder="1"/>
    <xf numFmtId="0" fontId="0" fillId="0" borderId="59" xfId="0" applyBorder="1"/>
    <xf numFmtId="0" fontId="0" fillId="0" borderId="60" xfId="0" applyBorder="1"/>
    <xf numFmtId="0" fontId="0" fillId="0" borderId="61" xfId="0" applyBorder="1"/>
    <xf numFmtId="0" fontId="0" fillId="0" borderId="62" xfId="0" applyBorder="1"/>
    <xf numFmtId="0" fontId="1" fillId="2" borderId="0" xfId="0" applyFont="1" applyFill="1" applyAlignment="1">
      <alignment horizontal="center"/>
    </xf>
    <xf numFmtId="0" fontId="0" fillId="0" borderId="63" xfId="0" applyBorder="1"/>
    <xf numFmtId="0" fontId="0" fillId="0" borderId="64" xfId="0" applyBorder="1"/>
    <xf numFmtId="0" fontId="0" fillId="0" borderId="65" xfId="0" applyBorder="1"/>
    <xf numFmtId="0" fontId="3" fillId="0" borderId="61" xfId="0" applyFont="1" applyBorder="1"/>
    <xf numFmtId="0" fontId="3" fillId="0" borderId="65" xfId="0" applyFont="1" applyBorder="1"/>
    <xf numFmtId="0" fontId="6" fillId="0" borderId="0" xfId="0" applyFont="1"/>
    <xf numFmtId="0" fontId="0" fillId="0" borderId="25" xfId="0" quotePrefix="1" applyBorder="1"/>
    <xf numFmtId="0" fontId="0" fillId="0" borderId="1" xfId="0" applyBorder="1"/>
    <xf numFmtId="0" fontId="1" fillId="2" borderId="1" xfId="0" applyFont="1" applyFill="1" applyBorder="1"/>
    <xf numFmtId="0" fontId="1" fillId="2" borderId="1" xfId="0" applyFont="1" applyFill="1" applyBorder="1" applyAlignment="1">
      <alignment horizontal="center"/>
    </xf>
    <xf numFmtId="0" fontId="12" fillId="0" borderId="0" xfId="0" applyFont="1"/>
    <xf numFmtId="0" fontId="7" fillId="0" borderId="0" xfId="0" applyFont="1"/>
    <xf numFmtId="0" fontId="11" fillId="3" borderId="0" xfId="0" applyFont="1" applyFill="1"/>
    <xf numFmtId="0" fontId="1" fillId="3" borderId="0" xfId="0" applyFont="1" applyFill="1"/>
    <xf numFmtId="0" fontId="16" fillId="3" borderId="0" xfId="0" applyFont="1" applyFill="1"/>
    <xf numFmtId="0" fontId="6" fillId="0" borderId="42" xfId="0" applyFont="1" applyBorder="1"/>
    <xf numFmtId="0" fontId="6" fillId="0" borderId="68" xfId="0" applyFont="1" applyBorder="1"/>
    <xf numFmtId="0" fontId="0" fillId="0" borderId="68" xfId="0" applyBorder="1"/>
    <xf numFmtId="0" fontId="0" fillId="0" borderId="69" xfId="0" applyBorder="1"/>
    <xf numFmtId="0" fontId="0" fillId="0" borderId="53" xfId="0" applyBorder="1"/>
    <xf numFmtId="0" fontId="0" fillId="0" borderId="70" xfId="0" applyBorder="1"/>
    <xf numFmtId="0" fontId="0" fillId="0" borderId="54" xfId="0" applyBorder="1"/>
    <xf numFmtId="0" fontId="0" fillId="0" borderId="51" xfId="0" applyBorder="1"/>
    <xf numFmtId="0" fontId="0" fillId="0" borderId="49" xfId="0" applyBorder="1"/>
    <xf numFmtId="0" fontId="0" fillId="0" borderId="48" xfId="0" applyBorder="1"/>
    <xf numFmtId="0" fontId="4" fillId="0" borderId="0" xfId="0" quotePrefix="1" applyFont="1" applyAlignment="1">
      <alignment vertical="top" wrapText="1"/>
    </xf>
    <xf numFmtId="0" fontId="3" fillId="0" borderId="68" xfId="0" applyFont="1" applyBorder="1"/>
    <xf numFmtId="0" fontId="3" fillId="0" borderId="69" xfId="0" applyFont="1" applyBorder="1"/>
    <xf numFmtId="0" fontId="4" fillId="0" borderId="23" xfId="0" quotePrefix="1" applyFont="1" applyBorder="1" applyAlignment="1">
      <alignment vertical="top" wrapText="1"/>
    </xf>
    <xf numFmtId="0" fontId="0" fillId="0" borderId="0" xfId="0" applyAlignment="1">
      <alignment vertical="center"/>
    </xf>
    <xf numFmtId="0" fontId="12" fillId="0" borderId="43" xfId="0" applyFont="1" applyBorder="1"/>
    <xf numFmtId="0" fontId="6" fillId="0" borderId="71" xfId="0" applyFont="1" applyBorder="1"/>
    <xf numFmtId="0" fontId="6" fillId="0" borderId="72" xfId="0" applyFont="1" applyBorder="1"/>
    <xf numFmtId="0" fontId="3" fillId="0" borderId="20" xfId="0" applyFont="1" applyBorder="1"/>
    <xf numFmtId="0" fontId="12" fillId="0" borderId="0" xfId="0" applyFont="1" applyAlignment="1">
      <alignment horizontal="center"/>
    </xf>
    <xf numFmtId="0" fontId="0" fillId="0" borderId="0" xfId="0" applyAlignment="1">
      <alignment horizontal="left" vertical="top"/>
    </xf>
    <xf numFmtId="10" fontId="0" fillId="0" borderId="0" xfId="0" applyNumberFormat="1"/>
    <xf numFmtId="9" fontId="0" fillId="0" borderId="0" xfId="0" applyNumberFormat="1"/>
    <xf numFmtId="9" fontId="0" fillId="0" borderId="23" xfId="0" applyNumberFormat="1" applyBorder="1"/>
    <xf numFmtId="0" fontId="4" fillId="0" borderId="0" xfId="0" applyFont="1" applyAlignment="1">
      <alignment horizontal="left" vertical="top" wrapText="1"/>
    </xf>
    <xf numFmtId="0" fontId="6" fillId="0" borderId="47" xfId="0" applyFont="1" applyBorder="1"/>
    <xf numFmtId="0" fontId="6" fillId="0" borderId="69" xfId="0" applyFont="1" applyBorder="1"/>
    <xf numFmtId="0" fontId="0" fillId="0" borderId="0" xfId="0" applyAlignment="1">
      <alignment horizontal="center" vertical="center"/>
    </xf>
    <xf numFmtId="0" fontId="0" fillId="0" borderId="18" xfId="0" applyBorder="1" applyAlignment="1">
      <alignment vertical="center"/>
    </xf>
    <xf numFmtId="0" fontId="6" fillId="0" borderId="43" xfId="0" applyFont="1" applyBorder="1"/>
    <xf numFmtId="0" fontId="6" fillId="0" borderId="45" xfId="0" applyFont="1" applyBorder="1"/>
    <xf numFmtId="0" fontId="6" fillId="0" borderId="44" xfId="0" applyFont="1" applyBorder="1"/>
    <xf numFmtId="0" fontId="6" fillId="0" borderId="46" xfId="0" applyFont="1" applyBorder="1"/>
    <xf numFmtId="0" fontId="3" fillId="0" borderId="43" xfId="0" applyFont="1" applyBorder="1"/>
    <xf numFmtId="0" fontId="6" fillId="0" borderId="88" xfId="0" applyFont="1" applyBorder="1"/>
    <xf numFmtId="0" fontId="3" fillId="0" borderId="44" xfId="0" applyFont="1" applyBorder="1"/>
    <xf numFmtId="0" fontId="3" fillId="0" borderId="45" xfId="0" applyFont="1" applyBorder="1"/>
    <xf numFmtId="0" fontId="3" fillId="0" borderId="47" xfId="0" applyFont="1" applyBorder="1"/>
    <xf numFmtId="0" fontId="0" fillId="0" borderId="30" xfId="0" applyBorder="1"/>
    <xf numFmtId="0" fontId="0" fillId="0" borderId="32" xfId="0" applyBorder="1" applyAlignment="1">
      <alignment horizontal="center"/>
    </xf>
    <xf numFmtId="1" fontId="0" fillId="0" borderId="0" xfId="0" applyNumberFormat="1"/>
    <xf numFmtId="0" fontId="4" fillId="0" borderId="0" xfId="0" applyFont="1" applyAlignment="1">
      <alignment horizontal="left" vertical="top"/>
    </xf>
    <xf numFmtId="0" fontId="9" fillId="0" borderId="0" xfId="0" applyFont="1" applyAlignment="1">
      <alignment horizontal="left" vertical="top"/>
    </xf>
    <xf numFmtId="0" fontId="9" fillId="0" borderId="0" xfId="0" applyFont="1"/>
    <xf numFmtId="1" fontId="3" fillId="0" borderId="0" xfId="0" applyNumberFormat="1" applyFont="1" applyAlignment="1">
      <alignment horizontal="center"/>
    </xf>
    <xf numFmtId="1" fontId="0" fillId="0" borderId="0" xfId="0" applyNumberFormat="1" applyAlignment="1">
      <alignment horizontal="center"/>
    </xf>
    <xf numFmtId="0" fontId="9" fillId="0" borderId="89" xfId="0" quotePrefix="1" applyFont="1" applyBorder="1"/>
    <xf numFmtId="0" fontId="8" fillId="0" borderId="88" xfId="0" applyFont="1" applyBorder="1"/>
    <xf numFmtId="0" fontId="0" fillId="0" borderId="88" xfId="0" applyBorder="1"/>
    <xf numFmtId="0" fontId="8" fillId="0" borderId="91" xfId="0" applyFont="1" applyBorder="1"/>
    <xf numFmtId="0" fontId="8" fillId="0" borderId="93" xfId="0" applyFont="1" applyBorder="1"/>
    <xf numFmtId="0" fontId="0" fillId="0" borderId="71" xfId="0" applyBorder="1"/>
    <xf numFmtId="4" fontId="0" fillId="0" borderId="0" xfId="0" applyNumberFormat="1"/>
    <xf numFmtId="0" fontId="4" fillId="0" borderId="0" xfId="0" quotePrefix="1" applyFont="1" applyAlignment="1">
      <alignment vertical="top"/>
    </xf>
    <xf numFmtId="0" fontId="1" fillId="0" borderId="0" xfId="0" applyFont="1" applyAlignment="1">
      <alignment horizontal="center"/>
    </xf>
    <xf numFmtId="0" fontId="1" fillId="0" borderId="0" xfId="0" applyFont="1" applyAlignment="1">
      <alignment vertical="center" textRotation="180"/>
    </xf>
    <xf numFmtId="0" fontId="0" fillId="0" borderId="52" xfId="0" applyBorder="1" applyAlignment="1">
      <alignment horizontal="center" vertical="center"/>
    </xf>
    <xf numFmtId="0" fontId="0" fillId="0" borderId="48" xfId="0" applyBorder="1" applyAlignment="1">
      <alignment horizontal="center" vertical="center"/>
    </xf>
    <xf numFmtId="0" fontId="0" fillId="0" borderId="50" xfId="0" applyBorder="1" applyAlignment="1">
      <alignment horizontal="center" vertical="center"/>
    </xf>
    <xf numFmtId="0" fontId="0" fillId="0" borderId="78" xfId="0" applyBorder="1"/>
    <xf numFmtId="0" fontId="0" fillId="0" borderId="78" xfId="0" applyBorder="1" applyAlignment="1">
      <alignment horizontal="center"/>
    </xf>
    <xf numFmtId="0" fontId="0" fillId="0" borderId="96" xfId="0" applyBorder="1"/>
    <xf numFmtId="10" fontId="0" fillId="0" borderId="0" xfId="0" applyNumberFormat="1" applyAlignment="1">
      <alignment horizontal="center"/>
    </xf>
    <xf numFmtId="10" fontId="0" fillId="0" borderId="42" xfId="0" applyNumberFormat="1" applyBorder="1" applyAlignment="1">
      <alignment horizontal="center"/>
    </xf>
    <xf numFmtId="10" fontId="0" fillId="0" borderId="47" xfId="0" applyNumberFormat="1" applyBorder="1" applyAlignment="1">
      <alignment horizontal="center"/>
    </xf>
    <xf numFmtId="4" fontId="0" fillId="0" borderId="84" xfId="0" applyNumberFormat="1" applyBorder="1" applyAlignment="1">
      <alignment horizontal="center"/>
    </xf>
    <xf numFmtId="0" fontId="4" fillId="0" borderId="0" xfId="0" applyFont="1"/>
    <xf numFmtId="0" fontId="1" fillId="2" borderId="78" xfId="0" applyFont="1" applyFill="1" applyBorder="1" applyAlignment="1">
      <alignment horizontal="center"/>
    </xf>
    <xf numFmtId="0" fontId="3" fillId="0" borderId="89" xfId="0" applyFont="1" applyBorder="1"/>
    <xf numFmtId="0" fontId="0" fillId="0" borderId="91" xfId="0" applyBorder="1"/>
    <xf numFmtId="0" fontId="0" fillId="0" borderId="92" xfId="0" applyBorder="1"/>
    <xf numFmtId="0" fontId="0" fillId="0" borderId="93" xfId="0" applyBorder="1"/>
    <xf numFmtId="0" fontId="0" fillId="0" borderId="90" xfId="0" applyBorder="1"/>
    <xf numFmtId="0" fontId="0" fillId="0" borderId="94" xfId="0" applyBorder="1"/>
    <xf numFmtId="0" fontId="12" fillId="0" borderId="42" xfId="0" applyFont="1" applyBorder="1"/>
    <xf numFmtId="0" fontId="0" fillId="0" borderId="0" xfId="0" quotePrefix="1"/>
    <xf numFmtId="4" fontId="0" fillId="0" borderId="0" xfId="0" applyNumberFormat="1" applyAlignment="1">
      <alignment horizontal="center"/>
    </xf>
    <xf numFmtId="0" fontId="24" fillId="0" borderId="57" xfId="0" applyFont="1" applyBorder="1"/>
    <xf numFmtId="0" fontId="4" fillId="0" borderId="0" xfId="0" applyFont="1" applyAlignment="1">
      <alignment horizontal="center" vertical="center"/>
    </xf>
    <xf numFmtId="0" fontId="0" fillId="0" borderId="0" xfId="0" applyAlignment="1" applyProtection="1">
      <alignment horizontal="left"/>
      <protection locked="0"/>
    </xf>
    <xf numFmtId="0" fontId="0" fillId="0" borderId="0" xfId="0" applyAlignment="1" applyProtection="1">
      <alignment vertical="top"/>
      <protection locked="0"/>
    </xf>
    <xf numFmtId="0" fontId="0" fillId="0" borderId="25" xfId="0" applyBorder="1" applyAlignment="1" applyProtection="1">
      <alignment vertical="top"/>
      <protection locked="0"/>
    </xf>
    <xf numFmtId="0" fontId="0" fillId="0" borderId="28" xfId="0" applyBorder="1"/>
    <xf numFmtId="0" fontId="0" fillId="0" borderId="0" xfId="0" applyAlignment="1" applyProtection="1">
      <alignment horizontal="center"/>
      <protection locked="0"/>
    </xf>
    <xf numFmtId="0" fontId="4" fillId="0" borderId="20" xfId="0" applyFont="1" applyBorder="1"/>
    <xf numFmtId="0" fontId="12" fillId="0" borderId="47" xfId="0" applyFont="1" applyBorder="1"/>
    <xf numFmtId="0" fontId="12" fillId="0" borderId="68" xfId="0" applyFont="1" applyBorder="1"/>
    <xf numFmtId="0" fontId="12" fillId="0" borderId="69" xfId="0" applyFont="1" applyBorder="1"/>
    <xf numFmtId="0" fontId="4" fillId="0" borderId="44" xfId="0" applyFont="1" applyBorder="1"/>
    <xf numFmtId="4" fontId="0" fillId="0" borderId="42" xfId="0" applyNumberFormat="1" applyBorder="1" applyAlignment="1">
      <alignment horizontal="center"/>
    </xf>
    <xf numFmtId="0" fontId="0" fillId="0" borderId="98" xfId="0" applyBorder="1"/>
    <xf numFmtId="0" fontId="0" fillId="0" borderId="98" xfId="0" applyBorder="1" applyAlignment="1">
      <alignment horizontal="center" vertical="center"/>
    </xf>
    <xf numFmtId="0" fontId="0" fillId="0" borderId="97" xfId="0" applyBorder="1" applyAlignment="1">
      <alignment horizontal="center" vertical="center"/>
    </xf>
    <xf numFmtId="0" fontId="0" fillId="0" borderId="0" xfId="0" applyAlignment="1">
      <alignment horizontal="left" vertical="top" wrapText="1"/>
    </xf>
    <xf numFmtId="0" fontId="6" fillId="0" borderId="0" xfId="0" applyFont="1" applyAlignment="1">
      <alignment horizontal="center"/>
    </xf>
    <xf numFmtId="0" fontId="0" fillId="0" borderId="42" xfId="0" applyBorder="1" applyAlignment="1">
      <alignment horizontal="center"/>
    </xf>
    <xf numFmtId="0" fontId="4" fillId="0" borderId="42" xfId="0" applyFont="1" applyBorder="1" applyAlignment="1">
      <alignment horizontal="center" vertical="center"/>
    </xf>
    <xf numFmtId="0" fontId="0" fillId="0" borderId="47" xfId="0" applyBorder="1" applyAlignment="1">
      <alignment horizontal="center" vertical="center"/>
    </xf>
    <xf numFmtId="0" fontId="0" fillId="0" borderId="47" xfId="0" applyBorder="1" applyAlignment="1">
      <alignment horizontal="center"/>
    </xf>
    <xf numFmtId="0" fontId="0" fillId="0" borderId="44" xfId="0" applyBorder="1" applyAlignment="1">
      <alignment vertical="top"/>
    </xf>
    <xf numFmtId="0" fontId="24" fillId="0" borderId="0" xfId="0" applyFont="1"/>
    <xf numFmtId="0" fontId="4" fillId="0" borderId="42" xfId="0" applyFont="1" applyBorder="1"/>
    <xf numFmtId="0" fontId="0" fillId="0" borderId="0" xfId="0" applyAlignment="1">
      <alignment horizontal="left" wrapText="1"/>
    </xf>
    <xf numFmtId="0" fontId="0" fillId="0" borderId="108" xfId="0" applyBorder="1"/>
    <xf numFmtId="0" fontId="27" fillId="0" borderId="0" xfId="0" applyFont="1"/>
    <xf numFmtId="1" fontId="29" fillId="0" borderId="0" xfId="0" applyNumberFormat="1" applyFont="1" applyAlignment="1">
      <alignment horizontal="center"/>
    </xf>
    <xf numFmtId="2" fontId="0" fillId="9" borderId="100" xfId="0" applyNumberFormat="1" applyFill="1" applyBorder="1" applyAlignment="1">
      <alignment horizontal="center" vertical="center"/>
    </xf>
    <xf numFmtId="2" fontId="0" fillId="9" borderId="67" xfId="0" applyNumberFormat="1" applyFill="1" applyBorder="1" applyAlignment="1">
      <alignment horizontal="center" vertical="center"/>
    </xf>
    <xf numFmtId="2" fontId="0" fillId="9" borderId="32" xfId="0" applyNumberFormat="1" applyFill="1" applyBorder="1" applyAlignment="1">
      <alignment horizontal="center" vertical="center"/>
    </xf>
    <xf numFmtId="2" fontId="0" fillId="9" borderId="101" xfId="0" applyNumberFormat="1" applyFill="1" applyBorder="1" applyAlignment="1">
      <alignment horizontal="center" vertical="center"/>
    </xf>
    <xf numFmtId="2" fontId="0" fillId="9" borderId="78" xfId="0" applyNumberFormat="1" applyFill="1" applyBorder="1" applyAlignment="1">
      <alignment horizontal="center" vertical="center"/>
    </xf>
    <xf numFmtId="2" fontId="0" fillId="9" borderId="84" xfId="0" applyNumberFormat="1" applyFill="1" applyBorder="1" applyAlignment="1">
      <alignment horizontal="center" vertical="center"/>
    </xf>
    <xf numFmtId="2" fontId="0" fillId="9" borderId="102" xfId="0" applyNumberFormat="1" applyFill="1" applyBorder="1" applyAlignment="1">
      <alignment horizontal="center" vertical="center"/>
    </xf>
    <xf numFmtId="2" fontId="0" fillId="9" borderId="75" xfId="0" applyNumberFormat="1" applyFill="1" applyBorder="1" applyAlignment="1">
      <alignment horizontal="center" vertical="center"/>
    </xf>
    <xf numFmtId="2" fontId="0" fillId="9" borderId="104" xfId="0" applyNumberFormat="1" applyFill="1" applyBorder="1" applyAlignment="1">
      <alignment horizontal="center" vertical="center"/>
    </xf>
    <xf numFmtId="0" fontId="0" fillId="0" borderId="51" xfId="0" applyBorder="1" applyAlignment="1">
      <alignment horizontal="center" vertical="center"/>
    </xf>
    <xf numFmtId="0" fontId="0" fillId="0" borderId="49" xfId="0" applyBorder="1" applyAlignment="1">
      <alignment horizontal="center" vertical="center"/>
    </xf>
    <xf numFmtId="0" fontId="0" fillId="0" borderId="99" xfId="0" applyBorder="1" applyAlignment="1">
      <alignment horizontal="center" vertical="center"/>
    </xf>
    <xf numFmtId="0" fontId="16" fillId="3" borderId="0" xfId="0" applyFont="1" applyFill="1" applyAlignment="1">
      <alignment horizontal="right"/>
    </xf>
    <xf numFmtId="0" fontId="0" fillId="0" borderId="0" xfId="0" applyAlignment="1">
      <alignment horizontal="right"/>
    </xf>
    <xf numFmtId="0" fontId="0" fillId="0" borderId="114" xfId="0" applyBorder="1"/>
    <xf numFmtId="2" fontId="0" fillId="0" borderId="0" xfId="0" applyNumberFormat="1" applyAlignment="1">
      <alignment horizontal="center"/>
    </xf>
    <xf numFmtId="2" fontId="0" fillId="0" borderId="115" xfId="0" applyNumberFormat="1" applyBorder="1" applyAlignment="1">
      <alignment horizontal="center"/>
    </xf>
    <xf numFmtId="0" fontId="0" fillId="0" borderId="116" xfId="0" applyBorder="1"/>
    <xf numFmtId="2" fontId="0" fillId="0" borderId="117" xfId="0" applyNumberFormat="1" applyBorder="1" applyAlignment="1">
      <alignment horizontal="center"/>
    </xf>
    <xf numFmtId="2" fontId="0" fillId="0" borderId="118" xfId="0" applyNumberFormat="1" applyBorder="1" applyAlignment="1">
      <alignment horizontal="center"/>
    </xf>
    <xf numFmtId="2" fontId="0" fillId="0" borderId="52" xfId="0" applyNumberFormat="1" applyBorder="1" applyAlignment="1">
      <alignment horizontal="center"/>
    </xf>
    <xf numFmtId="2" fontId="0" fillId="0" borderId="125" xfId="0" applyNumberFormat="1" applyBorder="1" applyAlignment="1">
      <alignment horizontal="center"/>
    </xf>
    <xf numFmtId="0" fontId="30" fillId="13" borderId="112" xfId="0" applyFont="1" applyFill="1" applyBorder="1" applyAlignment="1">
      <alignment horizontal="center" vertical="center"/>
    </xf>
    <xf numFmtId="0" fontId="30" fillId="13" borderId="74" xfId="0" applyFont="1" applyFill="1" applyBorder="1" applyAlignment="1">
      <alignment horizontal="center" vertical="center" wrapText="1"/>
    </xf>
    <xf numFmtId="0" fontId="30" fillId="13" borderId="122" xfId="0" applyFont="1" applyFill="1" applyBorder="1" applyAlignment="1">
      <alignment horizontal="center" vertical="center" wrapText="1"/>
    </xf>
    <xf numFmtId="0" fontId="30" fillId="14" borderId="121" xfId="0" applyFont="1" applyFill="1" applyBorder="1" applyAlignment="1">
      <alignment horizontal="center" vertical="center"/>
    </xf>
    <xf numFmtId="0" fontId="30" fillId="14" borderId="74" xfId="0" applyFont="1" applyFill="1" applyBorder="1" applyAlignment="1">
      <alignment horizontal="center" vertical="center" wrapText="1"/>
    </xf>
    <xf numFmtId="0" fontId="30" fillId="14" borderId="113" xfId="0" applyFont="1" applyFill="1" applyBorder="1" applyAlignment="1">
      <alignment horizontal="center" vertical="center" wrapText="1"/>
    </xf>
    <xf numFmtId="0" fontId="6" fillId="0" borderId="114" xfId="0" applyFont="1" applyBorder="1"/>
    <xf numFmtId="0" fontId="6" fillId="0" borderId="51" xfId="0" applyFont="1" applyBorder="1"/>
    <xf numFmtId="0" fontId="6" fillId="0" borderId="116" xfId="0" applyFont="1" applyBorder="1"/>
    <xf numFmtId="0" fontId="6" fillId="0" borderId="117" xfId="0" applyFont="1" applyBorder="1"/>
    <xf numFmtId="0" fontId="6" fillId="0" borderId="126" xfId="0" applyFont="1" applyBorder="1"/>
    <xf numFmtId="0" fontId="34" fillId="16" borderId="112" xfId="0" applyFont="1" applyFill="1" applyBorder="1" applyAlignment="1">
      <alignment horizontal="center" vertical="center"/>
    </xf>
    <xf numFmtId="0" fontId="34" fillId="16" borderId="74" xfId="0" applyFont="1" applyFill="1" applyBorder="1" applyAlignment="1">
      <alignment horizontal="center" vertical="center" wrapText="1"/>
    </xf>
    <xf numFmtId="0" fontId="34" fillId="16" borderId="122" xfId="0" applyFont="1" applyFill="1" applyBorder="1" applyAlignment="1">
      <alignment horizontal="center" vertical="center" wrapText="1"/>
    </xf>
    <xf numFmtId="0" fontId="34" fillId="12" borderId="121" xfId="0" applyFont="1" applyFill="1" applyBorder="1" applyAlignment="1">
      <alignment horizontal="center" vertical="center"/>
    </xf>
    <xf numFmtId="0" fontId="34" fillId="12" borderId="74" xfId="0" applyFont="1" applyFill="1" applyBorder="1" applyAlignment="1">
      <alignment horizontal="center" vertical="center" wrapText="1"/>
    </xf>
    <xf numFmtId="0" fontId="34" fillId="12" borderId="113" xfId="0" applyFont="1" applyFill="1" applyBorder="1" applyAlignment="1">
      <alignment horizontal="center" vertical="center" wrapText="1"/>
    </xf>
    <xf numFmtId="2" fontId="0" fillId="0" borderId="78" xfId="0" applyNumberFormat="1" applyBorder="1" applyAlignment="1">
      <alignment horizontal="center"/>
    </xf>
    <xf numFmtId="2" fontId="0" fillId="0" borderId="67" xfId="0" applyNumberFormat="1" applyBorder="1" applyAlignment="1">
      <alignment horizontal="center"/>
    </xf>
    <xf numFmtId="2" fontId="0" fillId="0" borderId="106" xfId="0" applyNumberFormat="1" applyBorder="1" applyAlignment="1">
      <alignment horizontal="center"/>
    </xf>
    <xf numFmtId="2" fontId="0" fillId="0" borderId="85" xfId="0" applyNumberFormat="1" applyBorder="1" applyAlignment="1">
      <alignment horizontal="center"/>
    </xf>
    <xf numFmtId="2" fontId="0" fillId="0" borderId="127" xfId="0" applyNumberFormat="1" applyBorder="1" applyAlignment="1">
      <alignment horizontal="center"/>
    </xf>
    <xf numFmtId="2" fontId="0" fillId="0" borderId="128" xfId="0" applyNumberFormat="1" applyBorder="1" applyAlignment="1">
      <alignment horizontal="center"/>
    </xf>
    <xf numFmtId="2" fontId="0" fillId="0" borderId="75" xfId="0" applyNumberFormat="1" applyBorder="1" applyAlignment="1">
      <alignment horizontal="center"/>
    </xf>
    <xf numFmtId="2" fontId="0" fillId="0" borderId="76" xfId="0" applyNumberFormat="1" applyBorder="1" applyAlignment="1">
      <alignment horizontal="center"/>
    </xf>
    <xf numFmtId="0" fontId="0" fillId="0" borderId="100" xfId="0" applyBorder="1" applyAlignment="1">
      <alignment horizontal="center"/>
    </xf>
    <xf numFmtId="0" fontId="0" fillId="0" borderId="67" xfId="0" applyBorder="1" applyAlignment="1">
      <alignment horizontal="center"/>
    </xf>
    <xf numFmtId="0" fontId="0" fillId="0" borderId="101" xfId="0" applyBorder="1" applyAlignment="1">
      <alignment horizontal="center"/>
    </xf>
    <xf numFmtId="0" fontId="0" fillId="0" borderId="103" xfId="0" applyBorder="1" applyAlignment="1">
      <alignment horizontal="center"/>
    </xf>
    <xf numFmtId="0" fontId="0" fillId="0" borderId="106" xfId="0" applyBorder="1" applyAlignment="1">
      <alignment horizontal="center"/>
    </xf>
    <xf numFmtId="0" fontId="0" fillId="0" borderId="102" xfId="0" applyBorder="1" applyAlignment="1">
      <alignment horizontal="center"/>
    </xf>
    <xf numFmtId="0" fontId="0" fillId="0" borderId="75" xfId="0" applyBorder="1" applyAlignment="1">
      <alignment horizontal="center"/>
    </xf>
    <xf numFmtId="0" fontId="33" fillId="19" borderId="48" xfId="0" applyFont="1" applyFill="1" applyBorder="1" applyAlignment="1">
      <alignment horizontal="center"/>
    </xf>
    <xf numFmtId="0" fontId="33" fillId="20" borderId="48" xfId="0" applyFont="1" applyFill="1" applyBorder="1" applyAlignment="1">
      <alignment horizontal="center"/>
    </xf>
    <xf numFmtId="0" fontId="33" fillId="20" borderId="50" xfId="0" applyFont="1" applyFill="1" applyBorder="1" applyAlignment="1">
      <alignment horizontal="center"/>
    </xf>
    <xf numFmtId="0" fontId="6" fillId="0" borderId="100" xfId="0" applyFont="1" applyBorder="1" applyAlignment="1">
      <alignment horizontal="center"/>
    </xf>
    <xf numFmtId="0" fontId="6" fillId="0" borderId="67" xfId="0" applyFont="1" applyBorder="1" applyAlignment="1">
      <alignment horizontal="center"/>
    </xf>
    <xf numFmtId="0" fontId="6" fillId="0" borderId="101" xfId="0" applyFont="1" applyBorder="1" applyAlignment="1">
      <alignment horizontal="center"/>
    </xf>
    <xf numFmtId="0" fontId="6" fillId="0" borderId="78" xfId="0" applyFont="1" applyBorder="1" applyAlignment="1">
      <alignment horizontal="center"/>
    </xf>
    <xf numFmtId="0" fontId="6" fillId="0" borderId="103" xfId="0" applyFont="1" applyBorder="1" applyAlignment="1">
      <alignment horizontal="center"/>
    </xf>
    <xf numFmtId="0" fontId="6" fillId="0" borderId="106" xfId="0" applyFont="1" applyBorder="1" applyAlignment="1">
      <alignment horizontal="center"/>
    </xf>
    <xf numFmtId="0" fontId="6" fillId="0" borderId="102" xfId="0" applyFont="1" applyBorder="1" applyAlignment="1">
      <alignment horizontal="center"/>
    </xf>
    <xf numFmtId="0" fontId="6" fillId="0" borderId="75" xfId="0" applyFont="1" applyBorder="1" applyAlignment="1">
      <alignment horizontal="center"/>
    </xf>
    <xf numFmtId="0" fontId="35" fillId="7" borderId="48" xfId="0" applyFont="1" applyFill="1" applyBorder="1" applyAlignment="1">
      <alignment horizontal="center"/>
    </xf>
    <xf numFmtId="0" fontId="35" fillId="22" borderId="48" xfId="0" applyFont="1" applyFill="1" applyBorder="1" applyAlignment="1">
      <alignment horizontal="center"/>
    </xf>
    <xf numFmtId="0" fontId="35" fillId="22" borderId="50" xfId="0" applyFont="1" applyFill="1" applyBorder="1" applyAlignment="1">
      <alignment horizontal="center"/>
    </xf>
    <xf numFmtId="0" fontId="6" fillId="0" borderId="78" xfId="0" applyFont="1" applyBorder="1"/>
    <xf numFmtId="0" fontId="0" fillId="0" borderId="67" xfId="0" applyBorder="1"/>
    <xf numFmtId="0" fontId="0" fillId="0" borderId="106" xfId="0" applyBorder="1"/>
    <xf numFmtId="0" fontId="0" fillId="24" borderId="0" xfId="0" applyFill="1" applyAlignment="1">
      <alignment horizontal="center"/>
    </xf>
    <xf numFmtId="0" fontId="0" fillId="25" borderId="0" xfId="0" applyFill="1" applyAlignment="1">
      <alignment horizontal="center"/>
    </xf>
    <xf numFmtId="0" fontId="16" fillId="27" borderId="0" xfId="0" applyFont="1" applyFill="1" applyAlignment="1">
      <alignment horizontal="center"/>
    </xf>
    <xf numFmtId="0" fontId="16" fillId="23" borderId="0" xfId="0" applyFont="1" applyFill="1" applyAlignment="1">
      <alignment horizontal="center"/>
    </xf>
    <xf numFmtId="0" fontId="0" fillId="25" borderId="115" xfId="0" applyFill="1" applyBorder="1" applyAlignment="1">
      <alignment horizontal="center"/>
    </xf>
    <xf numFmtId="0" fontId="0" fillId="0" borderId="134" xfId="0" applyBorder="1"/>
    <xf numFmtId="2" fontId="0" fillId="0" borderId="135" xfId="0" applyNumberFormat="1" applyBorder="1" applyAlignment="1">
      <alignment horizontal="center"/>
    </xf>
    <xf numFmtId="0" fontId="0" fillId="0" borderId="136" xfId="0" applyBorder="1"/>
    <xf numFmtId="2" fontId="0" fillId="0" borderId="137" xfId="0" applyNumberFormat="1" applyBorder="1" applyAlignment="1">
      <alignment horizontal="center"/>
    </xf>
    <xf numFmtId="0" fontId="0" fillId="0" borderId="138" xfId="0" applyBorder="1"/>
    <xf numFmtId="2" fontId="0" fillId="0" borderId="139" xfId="0" applyNumberFormat="1" applyBorder="1" applyAlignment="1">
      <alignment horizontal="center"/>
    </xf>
    <xf numFmtId="0" fontId="0" fillId="0" borderId="140" xfId="0" applyBorder="1"/>
    <xf numFmtId="0" fontId="0" fillId="0" borderId="141" xfId="0" applyBorder="1"/>
    <xf numFmtId="2" fontId="0" fillId="0" borderId="141" xfId="0" applyNumberFormat="1" applyBorder="1" applyAlignment="1">
      <alignment horizontal="center"/>
    </xf>
    <xf numFmtId="2" fontId="0" fillId="0" borderId="142" xfId="0" applyNumberFormat="1" applyBorder="1" applyAlignment="1">
      <alignment horizontal="center"/>
    </xf>
    <xf numFmtId="0" fontId="16" fillId="23" borderId="115" xfId="0" applyFont="1" applyFill="1" applyBorder="1" applyAlignment="1">
      <alignment horizontal="center"/>
    </xf>
    <xf numFmtId="0" fontId="6" fillId="0" borderId="134" xfId="0" applyFont="1" applyBorder="1"/>
    <xf numFmtId="0" fontId="6" fillId="0" borderId="136" xfId="0" applyFont="1" applyBorder="1"/>
    <xf numFmtId="0" fontId="6" fillId="0" borderId="106" xfId="0" applyFont="1" applyBorder="1"/>
    <xf numFmtId="0" fontId="6" fillId="0" borderId="138" xfId="0" applyFont="1" applyBorder="1"/>
    <xf numFmtId="0" fontId="6" fillId="0" borderId="67" xfId="0" applyFont="1" applyBorder="1"/>
    <xf numFmtId="0" fontId="6" fillId="0" borderId="140" xfId="0" applyFont="1" applyBorder="1"/>
    <xf numFmtId="0" fontId="6" fillId="0" borderId="141" xfId="0" applyFont="1" applyBorder="1"/>
    <xf numFmtId="0" fontId="40" fillId="0" borderId="0" xfId="0" applyFont="1"/>
    <xf numFmtId="0" fontId="18" fillId="28" borderId="143" xfId="4" applyFill="1" applyBorder="1"/>
    <xf numFmtId="0" fontId="18" fillId="28" borderId="143" xfId="4" applyFill="1" applyBorder="1" applyAlignment="1">
      <alignment horizontal="center"/>
    </xf>
    <xf numFmtId="0" fontId="37" fillId="0" borderId="143" xfId="4" applyFont="1" applyBorder="1" applyAlignment="1">
      <alignment horizontal="center"/>
    </xf>
    <xf numFmtId="0" fontId="36" fillId="0" borderId="143" xfId="4" applyFont="1" applyBorder="1" applyAlignment="1">
      <alignment horizontal="center"/>
    </xf>
    <xf numFmtId="0" fontId="18" fillId="29" borderId="143" xfId="4" applyFill="1" applyBorder="1"/>
    <xf numFmtId="0" fontId="0" fillId="0" borderId="0" xfId="0" applyProtection="1">
      <protection locked="0"/>
    </xf>
    <xf numFmtId="0" fontId="35" fillId="0" borderId="0" xfId="0" applyFont="1" applyAlignment="1">
      <alignment horizontal="center" wrapText="1"/>
    </xf>
    <xf numFmtId="0" fontId="31" fillId="0" borderId="0" xfId="0" applyFont="1" applyAlignment="1">
      <alignment horizontal="center"/>
    </xf>
    <xf numFmtId="0" fontId="35" fillId="0" borderId="0" xfId="0" applyFont="1" applyAlignment="1">
      <alignment horizontal="center"/>
    </xf>
    <xf numFmtId="0" fontId="0" fillId="0" borderId="0" xfId="0" applyAlignment="1">
      <alignment horizontal="left"/>
    </xf>
    <xf numFmtId="0" fontId="31" fillId="0" borderId="0" xfId="0" applyFont="1" applyAlignment="1">
      <alignment horizontal="left"/>
    </xf>
    <xf numFmtId="0" fontId="1" fillId="2" borderId="0" xfId="0" applyFont="1" applyFill="1" applyAlignment="1">
      <alignment horizontal="left"/>
    </xf>
    <xf numFmtId="0" fontId="35" fillId="0" borderId="0" xfId="0" applyFont="1" applyAlignment="1">
      <alignment horizontal="left"/>
    </xf>
    <xf numFmtId="2" fontId="0" fillId="0" borderId="0" xfId="0" applyNumberFormat="1" applyAlignment="1">
      <alignment horizontal="left"/>
    </xf>
    <xf numFmtId="0" fontId="0" fillId="0" borderId="144" xfId="0" applyBorder="1"/>
    <xf numFmtId="0" fontId="0" fillId="0" borderId="145" xfId="0" applyBorder="1"/>
    <xf numFmtId="0" fontId="0" fillId="0" borderId="146" xfId="0" applyBorder="1"/>
    <xf numFmtId="0" fontId="0" fillId="0" borderId="147" xfId="0" applyBorder="1"/>
    <xf numFmtId="0" fontId="0" fillId="0" borderId="148" xfId="0" applyBorder="1"/>
    <xf numFmtId="4" fontId="0" fillId="5" borderId="143" xfId="0" applyNumberFormat="1" applyFill="1" applyBorder="1"/>
    <xf numFmtId="0" fontId="0" fillId="0" borderId="149" xfId="0" applyBorder="1"/>
    <xf numFmtId="0" fontId="0" fillId="0" borderId="150" xfId="0" applyBorder="1"/>
    <xf numFmtId="0" fontId="0" fillId="0" borderId="151" xfId="0" applyBorder="1"/>
    <xf numFmtId="0" fontId="0" fillId="0" borderId="143" xfId="0" applyBorder="1"/>
    <xf numFmtId="0" fontId="3" fillId="0" borderId="23" xfId="0" applyFont="1" applyBorder="1" applyAlignment="1">
      <alignment horizontal="center"/>
    </xf>
    <xf numFmtId="0" fontId="28" fillId="0" borderId="0" xfId="0" applyFont="1" applyAlignment="1">
      <alignment horizontal="center"/>
    </xf>
    <xf numFmtId="10" fontId="6" fillId="0" borderId="42" xfId="0" applyNumberFormat="1" applyFont="1" applyBorder="1" applyAlignment="1">
      <alignment horizontal="center"/>
    </xf>
    <xf numFmtId="0" fontId="0" fillId="0" borderId="143" xfId="0" applyBorder="1" applyAlignment="1">
      <alignment horizontal="right"/>
    </xf>
    <xf numFmtId="0" fontId="0" fillId="30" borderId="143" xfId="0" applyFill="1" applyBorder="1"/>
    <xf numFmtId="0" fontId="0" fillId="0" borderId="143" xfId="0" applyBorder="1" applyAlignment="1">
      <alignment horizontal="center"/>
    </xf>
    <xf numFmtId="4" fontId="6" fillId="5" borderId="143" xfId="0" applyNumberFormat="1" applyFont="1" applyFill="1" applyBorder="1"/>
    <xf numFmtId="0" fontId="46" fillId="5" borderId="143" xfId="0" applyFont="1" applyFill="1" applyBorder="1" applyAlignment="1">
      <alignment horizontal="center" vertical="center" wrapText="1"/>
    </xf>
    <xf numFmtId="10" fontId="0" fillId="0" borderId="68" xfId="0" applyNumberFormat="1" applyBorder="1" applyAlignment="1">
      <alignment horizontal="center"/>
    </xf>
    <xf numFmtId="10" fontId="0" fillId="0" borderId="69" xfId="0" applyNumberFormat="1" applyBorder="1" applyAlignment="1">
      <alignment horizontal="center"/>
    </xf>
    <xf numFmtId="0" fontId="6" fillId="0" borderId="42" xfId="0" applyFont="1" applyBorder="1" applyAlignment="1" applyProtection="1">
      <alignment horizontal="center"/>
      <protection locked="0"/>
    </xf>
    <xf numFmtId="0" fontId="6" fillId="0" borderId="47" xfId="0" applyFont="1" applyBorder="1" applyAlignment="1" applyProtection="1">
      <alignment horizontal="center"/>
      <protection locked="0"/>
    </xf>
    <xf numFmtId="0" fontId="47" fillId="0" borderId="0" xfId="0" applyFont="1"/>
    <xf numFmtId="0" fontId="0" fillId="5" borderId="143" xfId="0" applyFill="1" applyBorder="1"/>
    <xf numFmtId="0" fontId="0" fillId="7" borderId="143" xfId="0" applyFill="1" applyBorder="1"/>
    <xf numFmtId="0" fontId="0" fillId="8" borderId="143" xfId="0" applyFill="1" applyBorder="1"/>
    <xf numFmtId="0" fontId="0" fillId="12" borderId="143" xfId="0" applyFill="1" applyBorder="1"/>
    <xf numFmtId="0" fontId="0" fillId="0" borderId="156" xfId="0" applyBorder="1"/>
    <xf numFmtId="0" fontId="0" fillId="0" borderId="157" xfId="0" applyBorder="1"/>
    <xf numFmtId="0" fontId="0" fillId="0" borderId="158" xfId="0" applyBorder="1"/>
    <xf numFmtId="0" fontId="0" fillId="0" borderId="159" xfId="0" applyBorder="1"/>
    <xf numFmtId="0" fontId="0" fillId="0" borderId="160" xfId="0" applyBorder="1"/>
    <xf numFmtId="0" fontId="0" fillId="0" borderId="161" xfId="0" applyBorder="1"/>
    <xf numFmtId="0" fontId="0" fillId="0" borderId="162" xfId="0" applyBorder="1"/>
    <xf numFmtId="0" fontId="0" fillId="0" borderId="163" xfId="0" applyBorder="1"/>
    <xf numFmtId="168" fontId="0" fillId="0" borderId="0" xfId="0" applyNumberFormat="1"/>
    <xf numFmtId="0" fontId="13" fillId="0" borderId="65" xfId="0" applyFont="1" applyBorder="1" applyAlignment="1">
      <alignment horizontal="center"/>
    </xf>
    <xf numFmtId="0" fontId="13" fillId="0" borderId="0" xfId="0" applyFont="1" applyAlignment="1">
      <alignment horizontal="center"/>
    </xf>
    <xf numFmtId="0" fontId="3" fillId="0" borderId="164" xfId="0" applyFont="1" applyBorder="1"/>
    <xf numFmtId="0" fontId="3" fillId="0" borderId="96" xfId="0" applyFont="1" applyBorder="1"/>
    <xf numFmtId="0" fontId="6" fillId="0" borderId="0" xfId="0" quotePrefix="1" applyFont="1" applyAlignment="1">
      <alignment horizontal="left"/>
    </xf>
    <xf numFmtId="4" fontId="0" fillId="0" borderId="0" xfId="0" applyNumberFormat="1" applyAlignment="1" applyProtection="1">
      <alignment horizontal="center" vertical="center"/>
      <protection locked="0"/>
    </xf>
    <xf numFmtId="4" fontId="0" fillId="0" borderId="0" xfId="0" applyNumberFormat="1" applyAlignment="1">
      <alignment horizontal="center" vertical="center"/>
    </xf>
    <xf numFmtId="0" fontId="0" fillId="0" borderId="66" xfId="0" applyBorder="1" applyAlignment="1">
      <alignment vertical="center"/>
    </xf>
    <xf numFmtId="0" fontId="0" fillId="0" borderId="67" xfId="0" applyBorder="1" applyAlignment="1">
      <alignment vertical="center"/>
    </xf>
    <xf numFmtId="0" fontId="0" fillId="0" borderId="143" xfId="0" applyBorder="1" applyAlignment="1">
      <alignment vertical="center"/>
    </xf>
    <xf numFmtId="4" fontId="3" fillId="0" borderId="0" xfId="0" applyNumberFormat="1" applyFont="1" applyAlignment="1">
      <alignment horizontal="center"/>
    </xf>
    <xf numFmtId="0" fontId="4" fillId="0" borderId="0" xfId="0" applyFont="1" applyAlignment="1">
      <alignment vertical="top"/>
    </xf>
    <xf numFmtId="2" fontId="3" fillId="0" borderId="0" xfId="0" applyNumberFormat="1" applyFont="1" applyAlignment="1">
      <alignment horizontal="center"/>
    </xf>
    <xf numFmtId="2" fontId="1" fillId="0" borderId="0" xfId="0" applyNumberFormat="1" applyFont="1" applyAlignment="1">
      <alignment horizontal="center"/>
    </xf>
    <xf numFmtId="4" fontId="3" fillId="0" borderId="0" xfId="0" applyNumberFormat="1" applyFont="1" applyAlignment="1">
      <alignment horizontal="center" vertical="center"/>
    </xf>
    <xf numFmtId="0" fontId="48" fillId="0" borderId="0" xfId="0" applyFont="1"/>
    <xf numFmtId="0" fontId="12" fillId="0" borderId="45" xfId="0" applyFont="1" applyBorder="1"/>
    <xf numFmtId="0" fontId="0" fillId="0" borderId="18" xfId="0" applyBorder="1"/>
    <xf numFmtId="0" fontId="3" fillId="0" borderId="32" xfId="0" applyFont="1" applyBorder="1" applyAlignment="1">
      <alignment horizontal="center"/>
    </xf>
    <xf numFmtId="0" fontId="4" fillId="0" borderId="0" xfId="0" applyFont="1" applyAlignment="1">
      <alignment horizontal="left" vertical="center" wrapText="1"/>
    </xf>
    <xf numFmtId="0" fontId="3" fillId="0" borderId="51" xfId="0" applyFont="1" applyBorder="1"/>
    <xf numFmtId="0" fontId="3" fillId="0" borderId="49" xfId="0" applyFont="1" applyBorder="1"/>
    <xf numFmtId="0" fontId="35" fillId="4" borderId="119" xfId="0" applyFont="1" applyFill="1" applyBorder="1" applyAlignment="1">
      <alignment horizontal="center"/>
    </xf>
    <xf numFmtId="0" fontId="35" fillId="4" borderId="105" xfId="0" applyFont="1" applyFill="1" applyBorder="1" applyAlignment="1">
      <alignment horizontal="center"/>
    </xf>
    <xf numFmtId="0" fontId="35" fillId="4" borderId="120" xfId="0" applyFont="1" applyFill="1" applyBorder="1" applyAlignment="1">
      <alignment horizontal="center"/>
    </xf>
    <xf numFmtId="0" fontId="4" fillId="0" borderId="0" xfId="0" applyFont="1" applyAlignment="1">
      <alignment horizontal="center" vertical="center" wrapText="1"/>
    </xf>
    <xf numFmtId="49" fontId="0" fillId="0" borderId="0" xfId="0" applyNumberFormat="1" applyAlignment="1">
      <alignment horizontal="center"/>
    </xf>
    <xf numFmtId="49" fontId="0" fillId="0" borderId="48" xfId="0" applyNumberFormat="1" applyBorder="1" applyAlignment="1">
      <alignment horizontal="center"/>
    </xf>
    <xf numFmtId="0" fontId="3" fillId="0" borderId="165" xfId="0" applyFont="1" applyBorder="1"/>
    <xf numFmtId="49" fontId="0" fillId="0" borderId="28" xfId="0" applyNumberFormat="1" applyBorder="1" applyAlignment="1">
      <alignment horizontal="center"/>
    </xf>
    <xf numFmtId="0" fontId="0" fillId="0" borderId="152" xfId="0" applyBorder="1"/>
    <xf numFmtId="0" fontId="3" fillId="0" borderId="166" xfId="0" applyFont="1" applyBorder="1"/>
    <xf numFmtId="49" fontId="0" fillId="0" borderId="32" xfId="0" applyNumberFormat="1" applyBorder="1" applyAlignment="1">
      <alignment horizontal="center"/>
    </xf>
    <xf numFmtId="0" fontId="0" fillId="0" borderId="167" xfId="0" applyBorder="1"/>
    <xf numFmtId="0" fontId="25" fillId="0" borderId="0" xfId="3"/>
    <xf numFmtId="2" fontId="0" fillId="9" borderId="168" xfId="0" applyNumberFormat="1" applyFill="1" applyBorder="1" applyAlignment="1">
      <alignment horizontal="center" vertical="center"/>
    </xf>
    <xf numFmtId="2" fontId="0" fillId="9" borderId="169" xfId="0" applyNumberFormat="1" applyFill="1" applyBorder="1" applyAlignment="1">
      <alignment horizontal="center" vertical="center"/>
    </xf>
    <xf numFmtId="2" fontId="0" fillId="9" borderId="98" xfId="0" applyNumberFormat="1" applyFill="1" applyBorder="1" applyAlignment="1">
      <alignment horizontal="center" vertical="center"/>
    </xf>
    <xf numFmtId="0" fontId="0" fillId="0" borderId="27" xfId="0" applyBorder="1" applyProtection="1">
      <protection locked="0"/>
    </xf>
    <xf numFmtId="0" fontId="0" fillId="0" borderId="28" xfId="0" applyBorder="1" applyProtection="1">
      <protection locked="0"/>
    </xf>
    <xf numFmtId="0" fontId="0" fillId="0" borderId="29" xfId="0" applyBorder="1" applyProtection="1">
      <protection locked="0"/>
    </xf>
    <xf numFmtId="0" fontId="0" fillId="0" borderId="18" xfId="0" applyBorder="1" applyProtection="1">
      <protection locked="0"/>
    </xf>
    <xf numFmtId="0" fontId="0" fillId="0" borderId="30" xfId="0" applyBorder="1" applyProtection="1">
      <protection locked="0"/>
    </xf>
    <xf numFmtId="0" fontId="0" fillId="0" borderId="43" xfId="0" applyBorder="1" applyProtection="1">
      <protection locked="0"/>
    </xf>
    <xf numFmtId="0" fontId="0" fillId="0" borderId="31" xfId="0" applyBorder="1" applyProtection="1">
      <protection locked="0"/>
    </xf>
    <xf numFmtId="0" fontId="0" fillId="0" borderId="32" xfId="0" applyBorder="1" applyProtection="1">
      <protection locked="0"/>
    </xf>
    <xf numFmtId="0" fontId="0" fillId="0" borderId="33" xfId="0" applyBorder="1" applyProtection="1">
      <protection locked="0"/>
    </xf>
    <xf numFmtId="0" fontId="4" fillId="0" borderId="43" xfId="0" applyFont="1" applyBorder="1"/>
    <xf numFmtId="4" fontId="4" fillId="0" borderId="0" xfId="0" applyNumberFormat="1" applyFont="1" applyAlignment="1">
      <alignment horizontal="center"/>
    </xf>
    <xf numFmtId="0" fontId="0" fillId="0" borderId="79" xfId="0" applyBorder="1" applyAlignment="1">
      <alignment horizontal="center"/>
    </xf>
    <xf numFmtId="0" fontId="0" fillId="0" borderId="84" xfId="0" applyBorder="1" applyAlignment="1">
      <alignment horizontal="center"/>
    </xf>
    <xf numFmtId="0" fontId="51" fillId="0" borderId="0" xfId="0" applyFont="1" applyAlignment="1">
      <alignment horizontal="left" vertical="top"/>
    </xf>
    <xf numFmtId="2" fontId="0" fillId="0" borderId="79" xfId="0" applyNumberFormat="1" applyBorder="1" applyAlignment="1">
      <alignment horizontal="center" vertical="center"/>
    </xf>
    <xf numFmtId="2" fontId="0" fillId="0" borderId="84" xfId="0" applyNumberFormat="1" applyBorder="1" applyAlignment="1">
      <alignment horizontal="center" vertical="center"/>
    </xf>
    <xf numFmtId="0" fontId="4" fillId="0" borderId="47" xfId="0" applyFont="1" applyBorder="1"/>
    <xf numFmtId="0" fontId="0" fillId="0" borderId="43" xfId="0" applyBorder="1" applyAlignment="1">
      <alignment vertical="top"/>
    </xf>
    <xf numFmtId="0" fontId="0" fillId="0" borderId="43" xfId="0" applyBorder="1" applyAlignment="1">
      <alignment vertical="top" wrapText="1"/>
    </xf>
    <xf numFmtId="0" fontId="0" fillId="0" borderId="0" xfId="0" applyAlignment="1">
      <alignment vertical="top" wrapText="1"/>
    </xf>
    <xf numFmtId="0" fontId="4" fillId="0" borderId="55" xfId="0" applyFont="1" applyBorder="1"/>
    <xf numFmtId="0" fontId="0" fillId="0" borderId="170" xfId="0" applyBorder="1"/>
    <xf numFmtId="0" fontId="0" fillId="0" borderId="171" xfId="0" applyBorder="1"/>
    <xf numFmtId="2" fontId="0" fillId="0" borderId="171" xfId="0" applyNumberFormat="1" applyBorder="1" applyAlignment="1">
      <alignment horizontal="center"/>
    </xf>
    <xf numFmtId="2" fontId="0" fillId="0" borderId="172" xfId="0" applyNumberFormat="1" applyBorder="1" applyAlignment="1">
      <alignment horizontal="center"/>
    </xf>
    <xf numFmtId="0" fontId="6" fillId="0" borderId="170" xfId="0" applyFont="1" applyBorder="1"/>
    <xf numFmtId="0" fontId="6" fillId="0" borderId="171" xfId="0" applyFont="1" applyBorder="1"/>
    <xf numFmtId="0" fontId="0" fillId="0" borderId="173" xfId="0" applyBorder="1"/>
    <xf numFmtId="0" fontId="0" fillId="0" borderId="174" xfId="0" applyBorder="1" applyAlignment="1">
      <alignment horizontal="center"/>
    </xf>
    <xf numFmtId="0" fontId="3" fillId="0" borderId="119" xfId="0" applyFont="1" applyBorder="1" applyAlignment="1">
      <alignment vertical="center"/>
    </xf>
    <xf numFmtId="0" fontId="3" fillId="0" borderId="105" xfId="0" applyFont="1" applyBorder="1" applyAlignment="1">
      <alignment vertical="center"/>
    </xf>
    <xf numFmtId="0" fontId="3" fillId="0" borderId="107" xfId="0" applyFont="1" applyBorder="1" applyAlignment="1">
      <alignment vertical="center"/>
    </xf>
    <xf numFmtId="0" fontId="0" fillId="0" borderId="51" xfId="0" applyBorder="1" applyAlignment="1">
      <alignment vertical="center"/>
    </xf>
    <xf numFmtId="0" fontId="0" fillId="0" borderId="155" xfId="0" applyBorder="1" applyAlignment="1">
      <alignment vertical="center"/>
    </xf>
    <xf numFmtId="0" fontId="0" fillId="0" borderId="154" xfId="0" applyBorder="1" applyAlignment="1">
      <alignment vertical="center"/>
    </xf>
    <xf numFmtId="0" fontId="0" fillId="0" borderId="49" xfId="0" applyBorder="1" applyAlignment="1">
      <alignment vertical="center"/>
    </xf>
    <xf numFmtId="0" fontId="4" fillId="0" borderId="0" xfId="0" applyFont="1" applyAlignment="1">
      <alignment vertical="center"/>
    </xf>
    <xf numFmtId="0" fontId="44" fillId="0" borderId="0" xfId="0" applyFont="1" applyAlignment="1">
      <alignment vertical="center"/>
    </xf>
    <xf numFmtId="0" fontId="0" fillId="0" borderId="28" xfId="0" applyBorder="1" applyAlignment="1">
      <alignment horizontal="center"/>
    </xf>
    <xf numFmtId="0" fontId="0" fillId="0" borderId="32" xfId="0" applyBorder="1"/>
    <xf numFmtId="0" fontId="0" fillId="32" borderId="0" xfId="0" applyFill="1"/>
    <xf numFmtId="0" fontId="31" fillId="32" borderId="0" xfId="0" applyFont="1" applyFill="1"/>
    <xf numFmtId="0" fontId="55" fillId="32" borderId="0" xfId="0" applyFont="1" applyFill="1"/>
    <xf numFmtId="0" fontId="0" fillId="32" borderId="143" xfId="0" applyFill="1" applyBorder="1"/>
    <xf numFmtId="0" fontId="0" fillId="32" borderId="143" xfId="0" applyFill="1" applyBorder="1" applyAlignment="1">
      <alignment horizontal="center" vertical="center"/>
    </xf>
    <xf numFmtId="14" fontId="0" fillId="32" borderId="143" xfId="0" applyNumberFormat="1" applyFill="1" applyBorder="1" applyAlignment="1">
      <alignment horizontal="center" vertical="center"/>
    </xf>
    <xf numFmtId="14" fontId="0" fillId="32" borderId="143" xfId="0" applyNumberFormat="1" applyFill="1" applyBorder="1" applyAlignment="1">
      <alignment horizontal="left" vertical="center"/>
    </xf>
    <xf numFmtId="0" fontId="0" fillId="32" borderId="143" xfId="0" applyFill="1" applyBorder="1" applyAlignment="1">
      <alignment wrapText="1"/>
    </xf>
    <xf numFmtId="0" fontId="56" fillId="0" borderId="0" xfId="0" applyFont="1"/>
    <xf numFmtId="0" fontId="56" fillId="0" borderId="0" xfId="0" applyFont="1" applyAlignment="1">
      <alignment horizontal="center" vertical="center" wrapText="1"/>
    </xf>
    <xf numFmtId="10" fontId="56" fillId="0" borderId="0" xfId="0" applyNumberFormat="1" applyFont="1"/>
    <xf numFmtId="4" fontId="56" fillId="0" borderId="0" xfId="0" applyNumberFormat="1" applyFont="1"/>
    <xf numFmtId="0" fontId="56" fillId="5" borderId="0" xfId="0" applyFont="1" applyFill="1" applyAlignment="1">
      <alignment horizontal="center" vertical="center" wrapText="1"/>
    </xf>
    <xf numFmtId="0" fontId="56" fillId="14" borderId="0" xfId="0" applyFont="1" applyFill="1" applyAlignment="1">
      <alignment horizontal="center" vertical="center" wrapText="1"/>
    </xf>
    <xf numFmtId="0" fontId="56" fillId="15" borderId="0" xfId="0" applyFont="1" applyFill="1" applyAlignment="1">
      <alignment horizontal="center" vertical="center" wrapText="1"/>
    </xf>
    <xf numFmtId="2" fontId="56" fillId="0" borderId="0" xfId="0" applyNumberFormat="1" applyFont="1"/>
    <xf numFmtId="0" fontId="57" fillId="0" borderId="0" xfId="0" applyFont="1"/>
    <xf numFmtId="0" fontId="56" fillId="13" borderId="0" xfId="0" applyFont="1" applyFill="1" applyAlignment="1">
      <alignment horizontal="center" vertical="center" wrapText="1"/>
    </xf>
    <xf numFmtId="0" fontId="56" fillId="31" borderId="0" xfId="0" applyFont="1" applyFill="1" applyAlignment="1">
      <alignment horizontal="center" vertical="center" wrapText="1"/>
    </xf>
    <xf numFmtId="0" fontId="56" fillId="35" borderId="0" xfId="0" applyFont="1" applyFill="1" applyAlignment="1">
      <alignment horizontal="center" vertical="center" wrapText="1"/>
    </xf>
    <xf numFmtId="0" fontId="56" fillId="7" borderId="0" xfId="0" applyFont="1" applyFill="1" applyAlignment="1">
      <alignment horizontal="center" vertical="center" wrapText="1"/>
    </xf>
    <xf numFmtId="0" fontId="56" fillId="21" borderId="0" xfId="0" applyFont="1" applyFill="1" applyAlignment="1">
      <alignment horizontal="center" vertical="center" wrapText="1"/>
    </xf>
    <xf numFmtId="14" fontId="56" fillId="0" borderId="0" xfId="0" applyNumberFormat="1" applyFont="1"/>
    <xf numFmtId="0" fontId="56" fillId="0" borderId="0" xfId="0" quotePrefix="1" applyFont="1"/>
    <xf numFmtId="0" fontId="3" fillId="36" borderId="143" xfId="0" applyFont="1" applyFill="1" applyBorder="1" applyAlignment="1">
      <alignment horizontal="center" vertical="center"/>
    </xf>
    <xf numFmtId="172" fontId="56" fillId="0" borderId="0" xfId="0" applyNumberFormat="1" applyFont="1"/>
    <xf numFmtId="173" fontId="56" fillId="0" borderId="0" xfId="0" applyNumberFormat="1" applyFont="1"/>
    <xf numFmtId="0" fontId="59" fillId="0" borderId="0" xfId="0" applyFont="1" applyAlignment="1">
      <alignment horizontal="center"/>
    </xf>
    <xf numFmtId="0" fontId="59" fillId="0" borderId="0" xfId="0" applyFont="1" applyAlignment="1">
      <alignment horizontal="center" vertical="center"/>
    </xf>
    <xf numFmtId="0" fontId="0" fillId="0" borderId="43" xfId="0" applyBorder="1" applyAlignment="1">
      <alignment horizontal="center" vertical="center"/>
    </xf>
    <xf numFmtId="0" fontId="4" fillId="32" borderId="0" xfId="0" applyFont="1" applyFill="1"/>
    <xf numFmtId="0" fontId="0" fillId="32" borderId="0" xfId="0" applyFill="1" applyAlignment="1">
      <alignment vertical="center"/>
    </xf>
    <xf numFmtId="0" fontId="3" fillId="32" borderId="0" xfId="0" applyFont="1" applyFill="1" applyAlignment="1">
      <alignment horizontal="left" vertical="center" wrapText="1"/>
    </xf>
    <xf numFmtId="0" fontId="12" fillId="32" borderId="43" xfId="0" applyFont="1" applyFill="1" applyBorder="1"/>
    <xf numFmtId="0" fontId="0" fillId="32" borderId="0" xfId="0" applyFill="1" applyAlignment="1">
      <alignment horizontal="left" vertical="center"/>
    </xf>
    <xf numFmtId="0" fontId="6" fillId="32" borderId="0" xfId="0" applyFont="1" applyFill="1" applyAlignment="1">
      <alignment horizontal="left" vertical="center"/>
    </xf>
    <xf numFmtId="0" fontId="0" fillId="32" borderId="0" xfId="0" applyFill="1" applyAlignment="1">
      <alignment horizontal="center" vertical="center"/>
    </xf>
    <xf numFmtId="0" fontId="3" fillId="32" borderId="143" xfId="0" applyFont="1" applyFill="1" applyBorder="1" applyAlignment="1">
      <alignment horizontal="center" vertical="center"/>
    </xf>
    <xf numFmtId="0" fontId="6" fillId="32" borderId="0" xfId="0" applyFont="1" applyFill="1"/>
    <xf numFmtId="0" fontId="6" fillId="32" borderId="0" xfId="0" applyFont="1" applyFill="1" applyAlignment="1">
      <alignment horizontal="left" vertical="center" wrapText="1"/>
    </xf>
    <xf numFmtId="0" fontId="22" fillId="32" borderId="0" xfId="0" applyFont="1" applyFill="1" applyAlignment="1">
      <alignment horizontal="left" vertical="center"/>
    </xf>
    <xf numFmtId="4" fontId="4" fillId="0" borderId="0" xfId="0" applyNumberFormat="1" applyFont="1" applyAlignment="1">
      <alignment horizontal="left"/>
    </xf>
    <xf numFmtId="0" fontId="6" fillId="32" borderId="18" xfId="0" applyFont="1" applyFill="1" applyBorder="1" applyAlignment="1">
      <alignment vertical="center" wrapText="1"/>
    </xf>
    <xf numFmtId="0" fontId="6" fillId="32" borderId="0" xfId="0" applyFont="1" applyFill="1" applyAlignment="1">
      <alignment vertical="center" wrapText="1"/>
    </xf>
    <xf numFmtId="0" fontId="3" fillId="32" borderId="32" xfId="0" applyFont="1" applyFill="1" applyBorder="1"/>
    <xf numFmtId="0" fontId="0" fillId="32" borderId="32" xfId="0" applyFill="1" applyBorder="1"/>
    <xf numFmtId="0" fontId="0" fillId="32" borderId="32" xfId="0" quotePrefix="1" applyFill="1" applyBorder="1"/>
    <xf numFmtId="2" fontId="0" fillId="9" borderId="143" xfId="0" applyNumberFormat="1" applyFill="1" applyBorder="1" applyAlignment="1">
      <alignment horizontal="center" vertical="center"/>
    </xf>
    <xf numFmtId="2" fontId="0" fillId="9" borderId="81" xfId="0" applyNumberFormat="1" applyFill="1" applyBorder="1" applyAlignment="1">
      <alignment horizontal="center" vertical="center"/>
    </xf>
    <xf numFmtId="0" fontId="24" fillId="0" borderId="56" xfId="0" applyFont="1" applyBorder="1"/>
    <xf numFmtId="0" fontId="3" fillId="32" borderId="0" xfId="0" applyFont="1" applyFill="1"/>
    <xf numFmtId="0" fontId="9" fillId="32" borderId="0" xfId="0" applyFont="1" applyFill="1"/>
    <xf numFmtId="0" fontId="24" fillId="32" borderId="0" xfId="0" applyFont="1" applyFill="1"/>
    <xf numFmtId="0" fontId="24" fillId="32" borderId="143" xfId="0" applyFont="1" applyFill="1" applyBorder="1" applyAlignment="1">
      <alignment wrapText="1"/>
    </xf>
    <xf numFmtId="14" fontId="24" fillId="32" borderId="143" xfId="0" applyNumberFormat="1" applyFont="1" applyFill="1" applyBorder="1" applyAlignment="1">
      <alignment horizontal="left" vertical="center"/>
    </xf>
    <xf numFmtId="14" fontId="22" fillId="32" borderId="143" xfId="0" applyNumberFormat="1" applyFont="1" applyFill="1" applyBorder="1" applyAlignment="1">
      <alignment horizontal="left" vertical="center" wrapText="1"/>
    </xf>
    <xf numFmtId="0" fontId="0" fillId="32" borderId="143" xfId="0" applyFill="1" applyBorder="1" applyAlignment="1">
      <alignment vertical="center" wrapText="1"/>
    </xf>
    <xf numFmtId="0" fontId="0" fillId="32" borderId="143" xfId="0" applyFill="1" applyBorder="1" applyAlignment="1">
      <alignment vertical="center"/>
    </xf>
    <xf numFmtId="1" fontId="0" fillId="0" borderId="1" xfId="0" applyNumberFormat="1" applyBorder="1" applyAlignment="1" applyProtection="1">
      <alignment horizontal="left"/>
      <protection locked="0"/>
    </xf>
    <xf numFmtId="0" fontId="3" fillId="0" borderId="16" xfId="0" applyFont="1" applyBorder="1"/>
    <xf numFmtId="14" fontId="0" fillId="0" borderId="0" xfId="0" applyNumberFormat="1" applyAlignment="1" applyProtection="1">
      <alignment horizontal="center" vertical="center"/>
      <protection locked="0"/>
    </xf>
    <xf numFmtId="0" fontId="11" fillId="32" borderId="0" xfId="0" applyFont="1" applyFill="1"/>
    <xf numFmtId="0" fontId="11" fillId="0" borderId="0" xfId="0" applyFont="1"/>
    <xf numFmtId="49" fontId="61" fillId="28" borderId="0" xfId="0" applyNumberFormat="1" applyFont="1" applyFill="1" applyAlignment="1">
      <alignment horizontal="center" vertical="center" wrapText="1"/>
    </xf>
    <xf numFmtId="49" fontId="61" fillId="37" borderId="0" xfId="0" applyNumberFormat="1" applyFont="1" applyFill="1" applyAlignment="1">
      <alignment horizontal="center" vertical="center" wrapText="1"/>
    </xf>
    <xf numFmtId="1" fontId="61" fillId="37" borderId="0" xfId="0" applyNumberFormat="1" applyFont="1" applyFill="1" applyAlignment="1">
      <alignment horizontal="center" vertical="center" wrapText="1"/>
    </xf>
    <xf numFmtId="167" fontId="61" fillId="37" borderId="0" xfId="0" applyNumberFormat="1" applyFont="1" applyFill="1" applyAlignment="1">
      <alignment horizontal="center" vertical="center" wrapText="1"/>
    </xf>
    <xf numFmtId="1" fontId="61" fillId="28" borderId="0" xfId="0" applyNumberFormat="1" applyFont="1" applyFill="1" applyAlignment="1">
      <alignment horizontal="center" vertical="center" wrapText="1"/>
    </xf>
    <xf numFmtId="167" fontId="61" fillId="28" borderId="0" xfId="0" applyNumberFormat="1" applyFont="1" applyFill="1" applyAlignment="1">
      <alignment horizontal="center" vertical="center" wrapText="1"/>
    </xf>
    <xf numFmtId="0" fontId="40" fillId="0" borderId="0" xfId="0" applyFont="1" applyProtection="1">
      <protection hidden="1"/>
    </xf>
    <xf numFmtId="0" fontId="24" fillId="0" borderId="23" xfId="0" applyFont="1" applyBorder="1"/>
    <xf numFmtId="0" fontId="0" fillId="38" borderId="143" xfId="0" applyFill="1" applyBorder="1" applyAlignment="1">
      <alignment horizontal="center" vertical="center" wrapText="1"/>
    </xf>
    <xf numFmtId="0" fontId="0" fillId="38" borderId="18" xfId="0" applyFill="1" applyBorder="1" applyAlignment="1">
      <alignment horizontal="center" vertical="center" wrapText="1"/>
    </xf>
    <xf numFmtId="0" fontId="0" fillId="39" borderId="0" xfId="0" applyFill="1" applyAlignment="1">
      <alignment horizontal="center"/>
    </xf>
    <xf numFmtId="0" fontId="64" fillId="0" borderId="0" xfId="0" applyFont="1" applyAlignment="1" applyProtection="1">
      <alignment horizontal="left"/>
      <protection locked="0"/>
    </xf>
    <xf numFmtId="0" fontId="65" fillId="0" borderId="0" xfId="0" applyFont="1"/>
    <xf numFmtId="0" fontId="9" fillId="0" borderId="14" xfId="0" applyFont="1" applyBorder="1"/>
    <xf numFmtId="0" fontId="0" fillId="0" borderId="89" xfId="0" applyBorder="1"/>
    <xf numFmtId="0" fontId="35" fillId="0" borderId="91" xfId="0" quotePrefix="1" applyFont="1" applyBorder="1"/>
    <xf numFmtId="0" fontId="9" fillId="0" borderId="92" xfId="0" applyFont="1" applyBorder="1"/>
    <xf numFmtId="0" fontId="22" fillId="0" borderId="11" xfId="0" applyFont="1" applyBorder="1" applyProtection="1">
      <protection hidden="1"/>
    </xf>
    <xf numFmtId="0" fontId="9" fillId="0" borderId="0" xfId="0" applyFont="1" applyProtection="1">
      <protection hidden="1"/>
    </xf>
    <xf numFmtId="170" fontId="56" fillId="0" borderId="0" xfId="0" applyNumberFormat="1" applyFont="1"/>
    <xf numFmtId="164" fontId="56" fillId="0" borderId="0" xfId="0" applyNumberFormat="1" applyFont="1"/>
    <xf numFmtId="0" fontId="57" fillId="41" borderId="0" xfId="0" applyFont="1" applyFill="1" applyAlignment="1">
      <alignment horizontal="center"/>
    </xf>
    <xf numFmtId="0" fontId="56" fillId="41" borderId="0" xfId="0" applyFont="1" applyFill="1" applyAlignment="1">
      <alignment horizontal="center" vertical="center" wrapText="1"/>
    </xf>
    <xf numFmtId="0" fontId="9" fillId="0" borderId="71" xfId="0" applyFont="1" applyBorder="1"/>
    <xf numFmtId="0" fontId="9" fillId="0" borderId="25" xfId="0" applyFont="1" applyBorder="1"/>
    <xf numFmtId="0" fontId="9" fillId="0" borderId="71" xfId="0" applyFont="1" applyBorder="1" applyAlignment="1">
      <alignment horizontal="left"/>
    </xf>
    <xf numFmtId="0" fontId="12" fillId="0" borderId="0" xfId="0" applyFont="1" applyAlignment="1">
      <alignment horizontal="center" vertical="center"/>
    </xf>
    <xf numFmtId="0" fontId="1" fillId="2" borderId="0" xfId="0" applyFont="1" applyFill="1" applyAlignment="1">
      <alignment horizontal="center" vertical="center"/>
    </xf>
    <xf numFmtId="0" fontId="1" fillId="2" borderId="143" xfId="0" applyFont="1" applyFill="1" applyBorder="1" applyAlignment="1">
      <alignment horizontal="center"/>
    </xf>
    <xf numFmtId="1" fontId="69" fillId="0" borderId="0" xfId="0" applyNumberFormat="1" applyFont="1" applyAlignment="1">
      <alignment horizontal="left" vertical="center"/>
    </xf>
    <xf numFmtId="0" fontId="66" fillId="0" borderId="71" xfId="0" applyFont="1" applyBorder="1" applyAlignment="1" applyProtection="1">
      <alignment horizontal="left"/>
      <protection hidden="1"/>
    </xf>
    <xf numFmtId="0" fontId="66" fillId="0" borderId="71" xfId="0" applyFont="1" applyBorder="1" applyProtection="1">
      <protection hidden="1"/>
    </xf>
    <xf numFmtId="0" fontId="12" fillId="0" borderId="42" xfId="0" applyFont="1" applyBorder="1" applyAlignment="1">
      <alignment horizontal="right"/>
    </xf>
    <xf numFmtId="0" fontId="12" fillId="0" borderId="96" xfId="0" applyFont="1" applyBorder="1" applyAlignment="1">
      <alignment horizontal="right"/>
    </xf>
    <xf numFmtId="0" fontId="0" fillId="0" borderId="177" xfId="0" applyBorder="1"/>
    <xf numFmtId="0" fontId="3" fillId="0" borderId="58" xfId="0" applyFont="1" applyBorder="1"/>
    <xf numFmtId="0" fontId="0" fillId="0" borderId="176" xfId="0" applyBorder="1"/>
    <xf numFmtId="0" fontId="22" fillId="32" borderId="143" xfId="0" applyFont="1" applyFill="1" applyBorder="1" applyAlignment="1">
      <alignment wrapText="1"/>
    </xf>
    <xf numFmtId="0" fontId="0" fillId="2" borderId="143" xfId="0" applyFill="1" applyBorder="1" applyAlignment="1">
      <alignment vertical="center"/>
    </xf>
    <xf numFmtId="2" fontId="71" fillId="0" borderId="0" xfId="11" applyNumberFormat="1" applyFont="1" applyAlignment="1">
      <alignment horizontal="center" vertical="center"/>
    </xf>
    <xf numFmtId="2" fontId="71" fillId="0" borderId="52" xfId="11" applyNumberFormat="1" applyFont="1" applyBorder="1" applyAlignment="1">
      <alignment horizontal="center" vertical="center"/>
    </xf>
    <xf numFmtId="2" fontId="71" fillId="0" borderId="117" xfId="11" applyNumberFormat="1" applyFont="1" applyBorder="1" applyAlignment="1">
      <alignment horizontal="center" vertical="center"/>
    </xf>
    <xf numFmtId="2" fontId="71" fillId="0" borderId="125" xfId="11" applyNumberFormat="1" applyFont="1" applyBorder="1" applyAlignment="1">
      <alignment horizontal="center" vertical="center"/>
    </xf>
    <xf numFmtId="2" fontId="71" fillId="0" borderId="28" xfId="11" applyNumberFormat="1" applyFont="1" applyBorder="1" applyAlignment="1">
      <alignment horizontal="center" vertical="center"/>
    </xf>
    <xf numFmtId="2" fontId="71" fillId="0" borderId="178" xfId="11" applyNumberFormat="1" applyFont="1" applyBorder="1" applyAlignment="1">
      <alignment horizontal="center" vertical="center"/>
    </xf>
    <xf numFmtId="2" fontId="71" fillId="0" borderId="115" xfId="11" applyNumberFormat="1" applyFont="1" applyBorder="1" applyAlignment="1">
      <alignment horizontal="center" vertical="center"/>
    </xf>
    <xf numFmtId="0" fontId="0" fillId="0" borderId="0" xfId="0" applyAlignment="1">
      <alignment wrapText="1"/>
    </xf>
    <xf numFmtId="0" fontId="0" fillId="0" borderId="66" xfId="0" applyBorder="1" applyAlignment="1">
      <alignment horizontal="center" vertical="center"/>
    </xf>
    <xf numFmtId="49" fontId="0" fillId="0" borderId="78" xfId="0" applyNumberFormat="1" applyBorder="1"/>
    <xf numFmtId="0" fontId="0" fillId="0" borderId="143" xfId="0" applyBorder="1" applyAlignment="1">
      <alignment horizontal="left" vertical="center"/>
    </xf>
    <xf numFmtId="0" fontId="0" fillId="0" borderId="130" xfId="0" applyBorder="1"/>
    <xf numFmtId="4" fontId="56" fillId="0" borderId="0" xfId="0" quotePrefix="1" applyNumberFormat="1" applyFont="1"/>
    <xf numFmtId="0" fontId="1" fillId="2" borderId="143" xfId="0" applyFont="1" applyFill="1" applyBorder="1"/>
    <xf numFmtId="0" fontId="0" fillId="0" borderId="79" xfId="0" applyBorder="1"/>
    <xf numFmtId="174" fontId="0" fillId="4" borderId="1" xfId="0" applyNumberFormat="1" applyFill="1" applyBorder="1"/>
    <xf numFmtId="174" fontId="0" fillId="0" borderId="0" xfId="0" applyNumberFormat="1"/>
    <xf numFmtId="174" fontId="0" fillId="5" borderId="143" xfId="0" applyNumberFormat="1" applyFill="1" applyBorder="1" applyProtection="1">
      <protection locked="0"/>
    </xf>
    <xf numFmtId="174" fontId="12" fillId="4" borderId="1" xfId="0" applyNumberFormat="1" applyFont="1" applyFill="1" applyBorder="1"/>
    <xf numFmtId="174" fontId="0" fillId="0" borderId="56" xfId="0" applyNumberFormat="1" applyBorder="1"/>
    <xf numFmtId="174" fontId="0" fillId="0" borderId="28" xfId="0" applyNumberFormat="1" applyBorder="1"/>
    <xf numFmtId="174" fontId="0" fillId="0" borderId="28" xfId="0" applyNumberFormat="1" applyBorder="1" applyProtection="1">
      <protection locked="0"/>
    </xf>
    <xf numFmtId="174" fontId="0" fillId="0" borderId="32" xfId="0" applyNumberFormat="1" applyBorder="1"/>
    <xf numFmtId="174" fontId="0" fillId="0" borderId="84" xfId="0" applyNumberFormat="1" applyBorder="1"/>
    <xf numFmtId="174" fontId="0" fillId="0" borderId="42" xfId="0" applyNumberFormat="1" applyBorder="1"/>
    <xf numFmtId="174" fontId="0" fillId="32" borderId="43" xfId="0" applyNumberFormat="1" applyFill="1" applyBorder="1" applyAlignment="1">
      <alignment horizontal="center" vertical="center"/>
    </xf>
    <xf numFmtId="174" fontId="0" fillId="32" borderId="0" xfId="0" applyNumberFormat="1" applyFill="1" applyAlignment="1">
      <alignment horizontal="center" vertical="center"/>
    </xf>
    <xf numFmtId="174" fontId="0" fillId="4" borderId="143" xfId="0" applyNumberFormat="1" applyFill="1" applyBorder="1" applyAlignment="1">
      <alignment horizontal="right" vertical="center"/>
    </xf>
    <xf numFmtId="174" fontId="3" fillId="4" borderId="143" xfId="0" applyNumberFormat="1" applyFont="1" applyFill="1" applyBorder="1" applyAlignment="1">
      <alignment horizontal="right" vertical="center"/>
    </xf>
    <xf numFmtId="0" fontId="9" fillId="0" borderId="0" xfId="0" applyFont="1" applyAlignment="1" applyProtection="1">
      <alignment horizontal="center"/>
      <protection hidden="1"/>
    </xf>
    <xf numFmtId="0" fontId="9" fillId="0" borderId="0" xfId="0" applyFont="1" applyAlignment="1" applyProtection="1">
      <alignment horizontal="center" vertical="center"/>
      <protection hidden="1"/>
    </xf>
    <xf numFmtId="0" fontId="58" fillId="2" borderId="0" xfId="0" applyFont="1" applyFill="1" applyAlignment="1">
      <alignment horizontal="center" vertical="center"/>
    </xf>
    <xf numFmtId="0" fontId="0" fillId="0" borderId="0" xfId="0" applyAlignment="1" applyProtection="1">
      <alignment horizontal="left" vertical="center"/>
      <protection locked="0"/>
    </xf>
    <xf numFmtId="0" fontId="72" fillId="0" borderId="0" xfId="0" applyFont="1"/>
    <xf numFmtId="0" fontId="57" fillId="28" borderId="0" xfId="0" applyFont="1" applyFill="1" applyAlignment="1">
      <alignment horizontal="center" vertical="center"/>
    </xf>
    <xf numFmtId="0" fontId="11" fillId="0" borderId="23" xfId="0" applyFont="1" applyBorder="1" applyProtection="1">
      <protection hidden="1"/>
    </xf>
    <xf numFmtId="0" fontId="11" fillId="0" borderId="0" xfId="0" applyFont="1" applyProtection="1">
      <protection hidden="1"/>
    </xf>
    <xf numFmtId="0" fontId="9" fillId="0" borderId="18" xfId="0" applyFont="1" applyBorder="1" applyProtection="1">
      <protection hidden="1"/>
    </xf>
    <xf numFmtId="0" fontId="9" fillId="0" borderId="14" xfId="0" applyFont="1" applyBorder="1" applyAlignment="1">
      <alignment vertical="center"/>
    </xf>
    <xf numFmtId="0" fontId="9" fillId="0" borderId="0" xfId="0" applyFont="1" applyAlignment="1">
      <alignment horizontal="left"/>
    </xf>
    <xf numFmtId="0" fontId="4" fillId="0" borderId="0" xfId="0" applyFont="1" applyProtection="1">
      <protection hidden="1"/>
    </xf>
    <xf numFmtId="0" fontId="28" fillId="0" borderId="0" xfId="0" applyFont="1"/>
    <xf numFmtId="0" fontId="64" fillId="0" borderId="0" xfId="0" applyFont="1"/>
    <xf numFmtId="0" fontId="9" fillId="0" borderId="0" xfId="0" applyFont="1" applyAlignment="1" applyProtection="1">
      <alignment horizontal="left"/>
      <protection hidden="1"/>
    </xf>
    <xf numFmtId="0" fontId="24" fillId="0" borderId="63" xfId="0" applyFont="1" applyBorder="1" applyAlignment="1" applyProtection="1">
      <alignment horizontal="left"/>
      <protection hidden="1"/>
    </xf>
    <xf numFmtId="0" fontId="0" fillId="0" borderId="0" xfId="0" applyAlignment="1">
      <alignment horizontal="left" vertical="center"/>
    </xf>
    <xf numFmtId="0" fontId="24" fillId="32" borderId="143" xfId="0" applyFont="1" applyFill="1" applyBorder="1"/>
    <xf numFmtId="0" fontId="6" fillId="0" borderId="0" xfId="0" applyFont="1" applyBorder="1"/>
    <xf numFmtId="2" fontId="0" fillId="0" borderId="0" xfId="0" applyNumberFormat="1" applyBorder="1" applyAlignment="1">
      <alignment horizontal="center"/>
    </xf>
    <xf numFmtId="0" fontId="0" fillId="0" borderId="190" xfId="0" applyBorder="1"/>
    <xf numFmtId="0" fontId="0" fillId="2" borderId="79" xfId="0" applyFill="1" applyBorder="1" applyAlignment="1">
      <alignment horizontal="center" vertical="center"/>
    </xf>
    <xf numFmtId="0" fontId="0" fillId="2" borderId="84" xfId="0" applyFill="1" applyBorder="1" applyAlignment="1">
      <alignment horizontal="center" vertical="center"/>
    </xf>
    <xf numFmtId="0" fontId="0" fillId="2" borderId="80" xfId="0" applyFill="1" applyBorder="1" applyAlignment="1">
      <alignment horizontal="center" vertical="center"/>
    </xf>
    <xf numFmtId="0" fontId="0" fillId="0" borderId="0" xfId="0" applyBorder="1"/>
    <xf numFmtId="0" fontId="0" fillId="0" borderId="0" xfId="0" quotePrefix="1" applyFill="1" applyBorder="1" applyAlignment="1" applyProtection="1">
      <alignment horizontal="center"/>
      <protection locked="0"/>
    </xf>
    <xf numFmtId="0" fontId="0" fillId="0" borderId="0" xfId="0" applyFill="1" applyBorder="1" applyAlignment="1" applyProtection="1">
      <alignment horizontal="center"/>
      <protection locked="0"/>
    </xf>
    <xf numFmtId="0" fontId="22" fillId="0" borderId="0" xfId="0" applyFont="1"/>
    <xf numFmtId="49" fontId="0" fillId="0" borderId="0" xfId="0" applyNumberFormat="1" applyAlignment="1">
      <alignment horizontal="center" vertical="center"/>
    </xf>
    <xf numFmtId="0" fontId="0" fillId="0" borderId="0" xfId="0" applyFill="1"/>
    <xf numFmtId="0" fontId="58" fillId="16" borderId="0" xfId="0" applyFont="1" applyFill="1" applyAlignment="1">
      <alignment horizontal="center" vertical="center"/>
    </xf>
    <xf numFmtId="0" fontId="57" fillId="5" borderId="0" xfId="0" applyFont="1" applyFill="1" applyAlignment="1">
      <alignment horizontal="center"/>
    </xf>
    <xf numFmtId="0" fontId="56" fillId="0" borderId="0" xfId="0" applyFont="1" applyAlignment="1">
      <alignment horizontal="right"/>
    </xf>
    <xf numFmtId="0" fontId="58" fillId="0" borderId="0" xfId="0" applyFont="1" applyFill="1" applyAlignment="1">
      <alignment vertical="center"/>
    </xf>
    <xf numFmtId="0" fontId="57" fillId="0" borderId="0" xfId="0" applyFont="1" applyFill="1"/>
    <xf numFmtId="0" fontId="0" fillId="32" borderId="80" xfId="0" applyFill="1" applyBorder="1"/>
    <xf numFmtId="0" fontId="0" fillId="32" borderId="29" xfId="0" applyFill="1" applyBorder="1" applyAlignment="1">
      <alignment vertical="center"/>
    </xf>
    <xf numFmtId="0" fontId="0" fillId="32" borderId="66" xfId="0" applyFill="1" applyBorder="1" applyAlignment="1">
      <alignment wrapText="1"/>
    </xf>
    <xf numFmtId="0" fontId="0" fillId="32" borderId="143" xfId="0" applyFill="1" applyBorder="1" applyAlignment="1">
      <alignment horizontal="center"/>
    </xf>
    <xf numFmtId="14" fontId="0" fillId="32" borderId="143" xfId="0" applyNumberFormat="1" applyFill="1" applyBorder="1" applyAlignment="1">
      <alignment horizontal="center"/>
    </xf>
    <xf numFmtId="0" fontId="1" fillId="2" borderId="0" xfId="0" applyFont="1" applyFill="1" applyAlignment="1">
      <alignment horizontal="center"/>
    </xf>
    <xf numFmtId="0" fontId="0" fillId="32" borderId="66" xfId="0" applyFill="1" applyBorder="1" applyAlignment="1">
      <alignment horizontal="center" vertical="center"/>
    </xf>
    <xf numFmtId="0" fontId="0" fillId="32" borderId="176" xfId="0" applyFill="1" applyBorder="1" applyAlignment="1">
      <alignment horizontal="center" vertical="center"/>
    </xf>
    <xf numFmtId="0" fontId="0" fillId="32" borderId="67" xfId="0" applyFill="1" applyBorder="1" applyAlignment="1">
      <alignment horizontal="center" vertical="center"/>
    </xf>
    <xf numFmtId="14" fontId="0" fillId="32" borderId="66" xfId="0" applyNumberFormat="1" applyFill="1" applyBorder="1" applyAlignment="1">
      <alignment horizontal="center" vertical="center"/>
    </xf>
    <xf numFmtId="14" fontId="0" fillId="32" borderId="176" xfId="0" applyNumberFormat="1" applyFill="1" applyBorder="1" applyAlignment="1">
      <alignment horizontal="center" vertical="center"/>
    </xf>
    <xf numFmtId="14" fontId="0" fillId="32" borderId="67" xfId="0" applyNumberFormat="1" applyFill="1" applyBorder="1" applyAlignment="1">
      <alignment horizontal="center" vertical="center"/>
    </xf>
    <xf numFmtId="0" fontId="0" fillId="32" borderId="143" xfId="0" applyFill="1" applyBorder="1" applyAlignment="1">
      <alignment horizontal="center" vertical="center"/>
    </xf>
    <xf numFmtId="14" fontId="0" fillId="32" borderId="143" xfId="0" applyNumberFormat="1" applyFill="1" applyBorder="1" applyAlignment="1">
      <alignment horizontal="center" vertical="center"/>
    </xf>
    <xf numFmtId="0" fontId="6" fillId="32" borderId="0" xfId="0" applyFont="1" applyFill="1" applyAlignment="1">
      <alignment horizontal="left" vertical="center" wrapText="1"/>
    </xf>
    <xf numFmtId="14" fontId="0" fillId="32" borderId="66" xfId="0" applyNumberFormat="1" applyFill="1" applyBorder="1" applyAlignment="1">
      <alignment horizontal="center" vertical="center" wrapText="1"/>
    </xf>
    <xf numFmtId="0" fontId="0" fillId="32" borderId="176" xfId="0" applyFill="1" applyBorder="1" applyAlignment="1">
      <alignment horizontal="center" vertical="center" wrapText="1"/>
    </xf>
    <xf numFmtId="0" fontId="0" fillId="32" borderId="67" xfId="0" applyFill="1" applyBorder="1" applyAlignment="1">
      <alignment horizontal="center" vertical="center" wrapText="1"/>
    </xf>
    <xf numFmtId="0" fontId="6" fillId="32" borderId="0" xfId="0" applyFont="1" applyFill="1" applyAlignment="1">
      <alignment horizontal="left" vertical="top" wrapText="1"/>
    </xf>
    <xf numFmtId="0" fontId="0" fillId="0" borderId="67" xfId="0" applyBorder="1" applyAlignment="1">
      <alignment horizontal="center" vertical="center"/>
    </xf>
    <xf numFmtId="0" fontId="0" fillId="32" borderId="80" xfId="0" applyFill="1" applyBorder="1" applyAlignment="1">
      <alignment horizontal="left" vertical="center"/>
    </xf>
    <xf numFmtId="0" fontId="0" fillId="32" borderId="29" xfId="0" applyFill="1" applyBorder="1" applyAlignment="1">
      <alignment horizontal="center" vertical="center"/>
    </xf>
    <xf numFmtId="0" fontId="0" fillId="32" borderId="30" xfId="0" applyFill="1" applyBorder="1" applyAlignment="1">
      <alignment horizontal="center" vertical="center"/>
    </xf>
    <xf numFmtId="14" fontId="0" fillId="32" borderId="66" xfId="0" applyNumberFormat="1" applyFont="1" applyFill="1" applyBorder="1" applyAlignment="1">
      <alignment horizontal="center" vertical="center"/>
    </xf>
    <xf numFmtId="14" fontId="0" fillId="32" borderId="176" xfId="0" applyNumberFormat="1" applyFont="1" applyFill="1" applyBorder="1" applyAlignment="1">
      <alignment horizontal="center" vertical="center"/>
    </xf>
    <xf numFmtId="0" fontId="3" fillId="0" borderId="0" xfId="0" applyFont="1" applyAlignment="1">
      <alignment horizontal="center"/>
    </xf>
    <xf numFmtId="0" fontId="6" fillId="0" borderId="0" xfId="0" applyFont="1" applyAlignment="1" applyProtection="1">
      <alignment horizontal="center"/>
      <protection hidden="1"/>
    </xf>
    <xf numFmtId="14" fontId="6" fillId="0" borderId="0" xfId="0" applyNumberFormat="1" applyFont="1" applyAlignment="1" applyProtection="1">
      <alignment horizontal="center"/>
      <protection hidden="1"/>
    </xf>
    <xf numFmtId="0" fontId="0" fillId="0" borderId="79" xfId="0" applyBorder="1" applyAlignment="1" applyProtection="1">
      <alignment horizontal="left"/>
      <protection locked="0"/>
    </xf>
    <xf numFmtId="0" fontId="0" fillId="0" borderId="84" xfId="0" applyBorder="1" applyAlignment="1" applyProtection="1">
      <alignment horizontal="left"/>
      <protection locked="0"/>
    </xf>
    <xf numFmtId="0" fontId="0" fillId="0" borderId="80" xfId="0" applyBorder="1" applyAlignment="1" applyProtection="1">
      <alignment horizontal="left"/>
      <protection locked="0"/>
    </xf>
    <xf numFmtId="0" fontId="0" fillId="9" borderId="79" xfId="0" applyFill="1" applyBorder="1" applyAlignment="1" applyProtection="1">
      <alignment horizontal="center"/>
      <protection hidden="1"/>
    </xf>
    <xf numFmtId="0" fontId="0" fillId="9" borderId="84" xfId="0" applyFill="1" applyBorder="1" applyAlignment="1" applyProtection="1">
      <alignment horizontal="center"/>
      <protection hidden="1"/>
    </xf>
    <xf numFmtId="0" fontId="0" fillId="9" borderId="80" xfId="0" applyFill="1" applyBorder="1" applyAlignment="1" applyProtection="1">
      <alignment horizontal="center"/>
      <protection hidden="1"/>
    </xf>
    <xf numFmtId="0" fontId="0" fillId="9" borderId="79" xfId="0" applyNumberFormat="1" applyFill="1" applyBorder="1" applyAlignment="1" applyProtection="1">
      <alignment horizontal="center" wrapText="1"/>
      <protection hidden="1"/>
    </xf>
    <xf numFmtId="0" fontId="0" fillId="9" borderId="84" xfId="0" applyNumberFormat="1" applyFill="1" applyBorder="1" applyAlignment="1" applyProtection="1">
      <alignment horizontal="center" wrapText="1"/>
      <protection hidden="1"/>
    </xf>
    <xf numFmtId="0" fontId="0" fillId="9" borderId="80" xfId="0" applyNumberFormat="1" applyFill="1" applyBorder="1" applyAlignment="1" applyProtection="1">
      <alignment horizontal="center" wrapText="1"/>
      <protection hidden="1"/>
    </xf>
    <xf numFmtId="0" fontId="0" fillId="0" borderId="27" xfId="0" applyBorder="1" applyAlignment="1" applyProtection="1">
      <alignment horizontal="left" vertical="top"/>
      <protection locked="0"/>
    </xf>
    <xf numFmtId="0" fontId="0" fillId="0" borderId="28" xfId="0" applyBorder="1" applyAlignment="1" applyProtection="1">
      <alignment horizontal="left" vertical="top"/>
      <protection locked="0"/>
    </xf>
    <xf numFmtId="0" fontId="0" fillId="0" borderId="29" xfId="0" applyBorder="1" applyAlignment="1" applyProtection="1">
      <alignment horizontal="left" vertical="top"/>
      <protection locked="0"/>
    </xf>
    <xf numFmtId="0" fontId="0" fillId="0" borderId="18"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30" xfId="0" applyBorder="1" applyAlignment="1" applyProtection="1">
      <alignment horizontal="left" vertical="top"/>
      <protection locked="0"/>
    </xf>
    <xf numFmtId="0" fontId="0" fillId="0" borderId="31" xfId="0" applyBorder="1" applyAlignment="1" applyProtection="1">
      <alignment horizontal="left" vertical="top"/>
      <protection locked="0"/>
    </xf>
    <xf numFmtId="0" fontId="0" fillId="0" borderId="32" xfId="0" applyBorder="1" applyAlignment="1" applyProtection="1">
      <alignment horizontal="left" vertical="top"/>
      <protection locked="0"/>
    </xf>
    <xf numFmtId="0" fontId="0" fillId="0" borderId="33" xfId="0" applyBorder="1" applyAlignment="1" applyProtection="1">
      <alignment horizontal="left" vertical="top"/>
      <protection locked="0"/>
    </xf>
    <xf numFmtId="0" fontId="0" fillId="0" borderId="79" xfId="0" applyBorder="1" applyAlignment="1" applyProtection="1">
      <alignment horizontal="center"/>
      <protection locked="0"/>
    </xf>
    <xf numFmtId="0" fontId="0" fillId="0" borderId="84" xfId="0" applyBorder="1" applyAlignment="1" applyProtection="1">
      <alignment horizontal="center"/>
      <protection locked="0"/>
    </xf>
    <xf numFmtId="0" fontId="0" fillId="0" borderId="80" xfId="0" applyBorder="1" applyAlignment="1" applyProtection="1">
      <alignment horizontal="center"/>
      <protection locked="0"/>
    </xf>
    <xf numFmtId="0" fontId="0" fillId="0" borderId="2" xfId="0" applyBorder="1" applyAlignment="1" applyProtection="1">
      <alignment horizontal="left"/>
      <protection locked="0"/>
    </xf>
    <xf numFmtId="0" fontId="0" fillId="0" borderId="9" xfId="0" applyBorder="1" applyAlignment="1" applyProtection="1">
      <alignment horizontal="left"/>
      <protection locked="0"/>
    </xf>
    <xf numFmtId="0" fontId="0" fillId="0" borderId="3" xfId="0" applyBorder="1" applyAlignment="1" applyProtection="1">
      <alignment horizontal="left"/>
      <protection locked="0"/>
    </xf>
    <xf numFmtId="0" fontId="0" fillId="0" borderId="1" xfId="0" applyBorder="1" applyAlignment="1" applyProtection="1">
      <alignment horizontal="center"/>
      <protection locked="0"/>
    </xf>
    <xf numFmtId="0" fontId="0" fillId="0" borderId="143" xfId="0" applyBorder="1" applyAlignment="1" applyProtection="1">
      <alignment horizontal="center"/>
      <protection locked="0"/>
    </xf>
    <xf numFmtId="0" fontId="0" fillId="0" borderId="79" xfId="0" applyBorder="1" applyAlignment="1" applyProtection="1">
      <alignment horizontal="left" vertical="center"/>
      <protection locked="0"/>
    </xf>
    <xf numFmtId="0" fontId="0" fillId="0" borderId="84" xfId="0" applyBorder="1" applyAlignment="1" applyProtection="1">
      <alignment horizontal="left" vertical="center"/>
      <protection locked="0"/>
    </xf>
    <xf numFmtId="0" fontId="0" fillId="0" borderId="80" xfId="0" applyBorder="1" applyAlignment="1" applyProtection="1">
      <alignment horizontal="left" vertical="center"/>
      <protection locked="0"/>
    </xf>
    <xf numFmtId="49" fontId="0" fillId="0" borderId="79" xfId="0" applyNumberFormat="1" applyBorder="1" applyAlignment="1" applyProtection="1">
      <alignment horizontal="left" vertical="center"/>
      <protection locked="0"/>
    </xf>
    <xf numFmtId="49" fontId="0" fillId="0" borderId="80" xfId="0" applyNumberFormat="1" applyBorder="1" applyAlignment="1" applyProtection="1">
      <alignment horizontal="left" vertical="center"/>
      <protection locked="0"/>
    </xf>
    <xf numFmtId="49" fontId="0" fillId="0" borderId="79" xfId="0" applyNumberFormat="1" applyBorder="1" applyAlignment="1" applyProtection="1">
      <alignment horizontal="left"/>
      <protection locked="0"/>
    </xf>
    <xf numFmtId="49" fontId="0" fillId="0" borderId="84" xfId="0" applyNumberFormat="1" applyBorder="1" applyAlignment="1" applyProtection="1">
      <alignment horizontal="left"/>
      <protection locked="0"/>
    </xf>
    <xf numFmtId="49" fontId="0" fillId="0" borderId="80" xfId="0" applyNumberFormat="1" applyBorder="1" applyAlignment="1" applyProtection="1">
      <alignment horizontal="left"/>
      <protection locked="0"/>
    </xf>
    <xf numFmtId="0" fontId="25" fillId="0" borderId="79" xfId="3" applyBorder="1" applyAlignment="1" applyProtection="1">
      <alignment horizontal="left"/>
      <protection locked="0"/>
    </xf>
    <xf numFmtId="0" fontId="25" fillId="0" borderId="84" xfId="3" applyBorder="1" applyAlignment="1" applyProtection="1">
      <alignment horizontal="left"/>
      <protection locked="0"/>
    </xf>
    <xf numFmtId="0" fontId="25" fillId="0" borderId="80" xfId="3" applyBorder="1" applyAlignment="1" applyProtection="1">
      <alignment horizontal="left"/>
      <protection locked="0"/>
    </xf>
    <xf numFmtId="49" fontId="0" fillId="0" borderId="79" xfId="0" applyNumberFormat="1" applyBorder="1" applyAlignment="1" applyProtection="1">
      <alignment horizontal="center"/>
      <protection locked="0"/>
    </xf>
    <xf numFmtId="49" fontId="0" fillId="0" borderId="80" xfId="0" applyNumberFormat="1" applyBorder="1" applyAlignment="1" applyProtection="1">
      <alignment horizontal="center"/>
      <protection locked="0"/>
    </xf>
    <xf numFmtId="14" fontId="22" fillId="0" borderId="79" xfId="0" applyNumberFormat="1" applyFont="1" applyBorder="1" applyAlignment="1" applyProtection="1">
      <alignment horizontal="center"/>
      <protection locked="0"/>
    </xf>
    <xf numFmtId="14" fontId="22" fillId="0" borderId="80" xfId="0" applyNumberFormat="1" applyFont="1" applyBorder="1" applyAlignment="1" applyProtection="1">
      <alignment horizontal="center"/>
      <protection locked="0"/>
    </xf>
    <xf numFmtId="168" fontId="0" fillId="0" borderId="79" xfId="0" applyNumberFormat="1" applyBorder="1" applyAlignment="1" applyProtection="1">
      <alignment horizontal="center"/>
      <protection locked="0"/>
    </xf>
    <xf numFmtId="168" fontId="0" fillId="0" borderId="80" xfId="0" applyNumberFormat="1" applyBorder="1" applyAlignment="1" applyProtection="1">
      <alignment horizontal="center"/>
      <protection locked="0"/>
    </xf>
    <xf numFmtId="0" fontId="9" fillId="0" borderId="18" xfId="0" applyFont="1" applyBorder="1" applyAlignment="1" applyProtection="1">
      <alignment horizontal="left"/>
      <protection hidden="1"/>
    </xf>
    <xf numFmtId="0" fontId="9" fillId="0" borderId="0" xfId="0" applyFont="1" applyAlignment="1" applyProtection="1">
      <alignment horizontal="left"/>
      <protection hidden="1"/>
    </xf>
    <xf numFmtId="0" fontId="9" fillId="0" borderId="18" xfId="0" applyFont="1" applyBorder="1" applyAlignment="1" applyProtection="1">
      <alignment horizontal="left" vertical="center"/>
      <protection hidden="1"/>
    </xf>
    <xf numFmtId="0" fontId="9" fillId="0" borderId="0" xfId="0" applyFont="1" applyAlignment="1" applyProtection="1">
      <alignment horizontal="left" vertical="center"/>
      <protection hidden="1"/>
    </xf>
    <xf numFmtId="0" fontId="16" fillId="3" borderId="0" xfId="0" applyFont="1" applyFill="1" applyAlignment="1" applyProtection="1">
      <alignment horizontal="right"/>
      <protection hidden="1"/>
    </xf>
    <xf numFmtId="49" fontId="0" fillId="0" borderId="84" xfId="0" applyNumberFormat="1" applyBorder="1" applyAlignment="1" applyProtection="1">
      <alignment horizontal="left" vertical="center"/>
      <protection locked="0"/>
    </xf>
    <xf numFmtId="170" fontId="0" fillId="0" borderId="79" xfId="0" applyNumberFormat="1" applyBorder="1" applyAlignment="1" applyProtection="1">
      <alignment horizontal="left" vertical="center"/>
      <protection locked="0"/>
    </xf>
    <xf numFmtId="170" fontId="0" fillId="0" borderId="84" xfId="0" applyNumberFormat="1" applyBorder="1" applyAlignment="1" applyProtection="1">
      <alignment horizontal="left" vertical="center"/>
      <protection locked="0"/>
    </xf>
    <xf numFmtId="170" fontId="0" fillId="0" borderId="80" xfId="0" applyNumberFormat="1" applyBorder="1" applyAlignment="1" applyProtection="1">
      <alignment horizontal="left" vertical="center"/>
      <protection locked="0"/>
    </xf>
    <xf numFmtId="0" fontId="3" fillId="0" borderId="0" xfId="0" applyFont="1" applyAlignment="1">
      <alignment horizontal="left" vertical="top" wrapText="1"/>
    </xf>
    <xf numFmtId="0" fontId="3" fillId="0" borderId="160" xfId="0" applyFont="1" applyBorder="1" applyAlignment="1">
      <alignment horizontal="left" vertical="top" wrapText="1"/>
    </xf>
    <xf numFmtId="0" fontId="0" fillId="5" borderId="27" xfId="0" applyFill="1" applyBorder="1" applyAlignment="1" applyProtection="1">
      <alignment horizontal="left" vertical="top"/>
      <protection locked="0"/>
    </xf>
    <xf numFmtId="0" fontId="0" fillId="5" borderId="28" xfId="0" applyFill="1" applyBorder="1" applyAlignment="1" applyProtection="1">
      <alignment horizontal="left" vertical="top"/>
      <protection locked="0"/>
    </xf>
    <xf numFmtId="0" fontId="0" fillId="5" borderId="29" xfId="0" applyFill="1" applyBorder="1" applyAlignment="1" applyProtection="1">
      <alignment horizontal="left" vertical="top"/>
      <protection locked="0"/>
    </xf>
    <xf numFmtId="0" fontId="0" fillId="5" borderId="18" xfId="0" applyFill="1" applyBorder="1" applyAlignment="1" applyProtection="1">
      <alignment horizontal="left" vertical="top"/>
      <protection locked="0"/>
    </xf>
    <xf numFmtId="0" fontId="0" fillId="5" borderId="0" xfId="0" applyFill="1" applyAlignment="1" applyProtection="1">
      <alignment horizontal="left" vertical="top"/>
      <protection locked="0"/>
    </xf>
    <xf numFmtId="0" fontId="0" fillId="5" borderId="30" xfId="0" applyFill="1" applyBorder="1" applyAlignment="1" applyProtection="1">
      <alignment horizontal="left" vertical="top"/>
      <protection locked="0"/>
    </xf>
    <xf numFmtId="0" fontId="0" fillId="5" borderId="31" xfId="0" applyFill="1" applyBorder="1" applyAlignment="1" applyProtection="1">
      <alignment horizontal="left" vertical="top"/>
      <protection locked="0"/>
    </xf>
    <xf numFmtId="0" fontId="0" fillId="5" borderId="32" xfId="0" applyFill="1" applyBorder="1" applyAlignment="1" applyProtection="1">
      <alignment horizontal="left" vertical="top"/>
      <protection locked="0"/>
    </xf>
    <xf numFmtId="0" fontId="0" fillId="5" borderId="33" xfId="0" applyFill="1" applyBorder="1" applyAlignment="1" applyProtection="1">
      <alignment horizontal="left" vertical="top"/>
      <protection locked="0"/>
    </xf>
    <xf numFmtId="0" fontId="16" fillId="3" borderId="0" xfId="0" applyFont="1" applyFill="1" applyAlignment="1">
      <alignment horizontal="right"/>
    </xf>
    <xf numFmtId="0" fontId="13" fillId="0" borderId="55" xfId="0" applyFont="1" applyBorder="1" applyAlignment="1">
      <alignment horizontal="center"/>
    </xf>
    <xf numFmtId="0" fontId="13" fillId="0" borderId="56" xfId="0" applyFont="1" applyBorder="1" applyAlignment="1">
      <alignment horizontal="center"/>
    </xf>
    <xf numFmtId="0" fontId="3" fillId="0" borderId="42" xfId="0" applyFont="1" applyBorder="1" applyAlignment="1">
      <alignment horizontal="left"/>
    </xf>
    <xf numFmtId="0" fontId="6" fillId="0" borderId="0" xfId="0" applyFont="1" applyAlignment="1">
      <alignment horizontal="left" vertical="center" wrapText="1"/>
    </xf>
    <xf numFmtId="0" fontId="6" fillId="0" borderId="0" xfId="0" applyFont="1" applyAlignment="1">
      <alignment horizontal="left"/>
    </xf>
    <xf numFmtId="0" fontId="13" fillId="0" borderId="55" xfId="0" applyFont="1" applyBorder="1" applyAlignment="1">
      <alignment horizontal="center" wrapText="1"/>
    </xf>
    <xf numFmtId="0" fontId="13" fillId="0" borderId="56" xfId="0" applyFont="1" applyBorder="1" applyAlignment="1">
      <alignment horizontal="center" wrapText="1"/>
    </xf>
    <xf numFmtId="0" fontId="0" fillId="5" borderId="79" xfId="0" applyFill="1" applyBorder="1" applyAlignment="1" applyProtection="1">
      <alignment horizontal="left"/>
      <protection locked="0"/>
    </xf>
    <xf numFmtId="0" fontId="0" fillId="5" borderId="84" xfId="0" applyFill="1" applyBorder="1" applyAlignment="1" applyProtection="1">
      <alignment horizontal="left"/>
      <protection locked="0"/>
    </xf>
    <xf numFmtId="0" fontId="0" fillId="5" borderId="80" xfId="0" applyFill="1" applyBorder="1" applyAlignment="1" applyProtection="1">
      <alignment horizontal="left"/>
      <protection locked="0"/>
    </xf>
    <xf numFmtId="0" fontId="28" fillId="0" borderId="0" xfId="0" applyFont="1" applyAlignment="1">
      <alignment horizontal="center" vertical="center"/>
    </xf>
    <xf numFmtId="0" fontId="12" fillId="0" borderId="0" xfId="0" applyFont="1" applyAlignment="1">
      <alignment horizontal="center" vertical="center"/>
    </xf>
    <xf numFmtId="0" fontId="14" fillId="0" borderId="65" xfId="0" applyFont="1" applyBorder="1" applyAlignment="1">
      <alignment horizontal="left" vertical="top" wrapText="1"/>
    </xf>
    <xf numFmtId="0" fontId="14" fillId="0" borderId="0" xfId="0" applyFont="1" applyAlignment="1">
      <alignment horizontal="left" vertical="top" wrapText="1"/>
    </xf>
    <xf numFmtId="0" fontId="14" fillId="0" borderId="61" xfId="0" applyFont="1" applyBorder="1" applyAlignment="1">
      <alignment horizontal="left" vertical="top" wrapText="1"/>
    </xf>
    <xf numFmtId="0" fontId="14" fillId="0" borderId="42" xfId="0" applyFont="1" applyBorder="1" applyAlignment="1">
      <alignment horizontal="left" vertical="top" wrapText="1"/>
    </xf>
    <xf numFmtId="0" fontId="12" fillId="0" borderId="0" xfId="0" applyFont="1" applyAlignment="1">
      <alignment horizontal="center"/>
    </xf>
    <xf numFmtId="0" fontId="6" fillId="0" borderId="0" xfId="0" applyFont="1" applyAlignment="1">
      <alignment horizontal="center"/>
    </xf>
    <xf numFmtId="0" fontId="28" fillId="0" borderId="0" xfId="0" applyFont="1" applyAlignment="1">
      <alignment horizontal="center"/>
    </xf>
    <xf numFmtId="0" fontId="28" fillId="0" borderId="23" xfId="0" applyFont="1" applyBorder="1" applyAlignment="1">
      <alignment horizontal="center"/>
    </xf>
    <xf numFmtId="175" fontId="0" fillId="7" borderId="2" xfId="0" applyNumberFormat="1" applyFill="1" applyBorder="1" applyAlignment="1">
      <alignment horizontal="center"/>
    </xf>
    <xf numFmtId="175" fontId="0" fillId="7" borderId="3" xfId="0" applyNumberFormat="1" applyFill="1" applyBorder="1" applyAlignment="1">
      <alignment horizontal="center"/>
    </xf>
    <xf numFmtId="175" fontId="0" fillId="9" borderId="2" xfId="0" applyNumberFormat="1" applyFill="1" applyBorder="1" applyAlignment="1">
      <alignment horizontal="center"/>
    </xf>
    <xf numFmtId="175" fontId="0" fillId="9" borderId="3" xfId="0" applyNumberFormat="1" applyFill="1" applyBorder="1" applyAlignment="1">
      <alignment horizontal="center"/>
    </xf>
    <xf numFmtId="4" fontId="1" fillId="12" borderId="2" xfId="0" applyNumberFormat="1" applyFont="1" applyFill="1" applyBorder="1" applyAlignment="1">
      <alignment horizontal="center"/>
    </xf>
    <xf numFmtId="4" fontId="1" fillId="12" borderId="3" xfId="0" applyNumberFormat="1" applyFont="1" applyFill="1" applyBorder="1" applyAlignment="1">
      <alignment horizontal="center"/>
    </xf>
    <xf numFmtId="4" fontId="3" fillId="8" borderId="79" xfId="0" applyNumberFormat="1" applyFont="1" applyFill="1" applyBorder="1" applyAlignment="1">
      <alignment horizontal="center"/>
    </xf>
    <xf numFmtId="4" fontId="3" fillId="8" borderId="80" xfId="0" applyNumberFormat="1" applyFont="1" applyFill="1" applyBorder="1" applyAlignment="1">
      <alignment horizontal="center"/>
    </xf>
    <xf numFmtId="0" fontId="6" fillId="0" borderId="42" xfId="0" applyFont="1" applyBorder="1" applyAlignment="1">
      <alignment horizontal="left"/>
    </xf>
    <xf numFmtId="0" fontId="6" fillId="0" borderId="47" xfId="0" applyFont="1" applyBorder="1" applyAlignment="1">
      <alignment horizontal="left"/>
    </xf>
    <xf numFmtId="0" fontId="0" fillId="9" borderId="2" xfId="0" applyFill="1" applyBorder="1" applyAlignment="1">
      <alignment horizontal="center"/>
    </xf>
    <xf numFmtId="0" fontId="0" fillId="9" borderId="3" xfId="0" applyFill="1" applyBorder="1" applyAlignment="1">
      <alignment horizontal="center"/>
    </xf>
    <xf numFmtId="2" fontId="1" fillId="12" borderId="2" xfId="0" applyNumberFormat="1" applyFont="1" applyFill="1" applyBorder="1" applyAlignment="1">
      <alignment horizontal="center"/>
    </xf>
    <xf numFmtId="2" fontId="1" fillId="12" borderId="3" xfId="0" applyNumberFormat="1" applyFont="1" applyFill="1" applyBorder="1" applyAlignment="1">
      <alignment horizontal="center"/>
    </xf>
    <xf numFmtId="2" fontId="3" fillId="8" borderId="2" xfId="0" applyNumberFormat="1" applyFont="1" applyFill="1" applyBorder="1" applyAlignment="1">
      <alignment horizontal="center"/>
    </xf>
    <xf numFmtId="2" fontId="3" fillId="8" borderId="3" xfId="0" applyNumberFormat="1" applyFont="1" applyFill="1" applyBorder="1" applyAlignment="1">
      <alignment horizontal="center"/>
    </xf>
    <xf numFmtId="4" fontId="3" fillId="8" borderId="2" xfId="0" applyNumberFormat="1" applyFont="1" applyFill="1" applyBorder="1" applyAlignment="1">
      <alignment horizontal="center"/>
    </xf>
    <xf numFmtId="4" fontId="3" fillId="8" borderId="3" xfId="0" applyNumberFormat="1" applyFont="1" applyFill="1" applyBorder="1" applyAlignment="1">
      <alignment horizontal="center"/>
    </xf>
    <xf numFmtId="175" fontId="0" fillId="7" borderId="2" xfId="2" applyNumberFormat="1" applyFont="1" applyFill="1" applyBorder="1" applyAlignment="1">
      <alignment horizontal="center"/>
    </xf>
    <xf numFmtId="175" fontId="0" fillId="7" borderId="3" xfId="2" applyNumberFormat="1" applyFont="1" applyFill="1" applyBorder="1" applyAlignment="1">
      <alignment horizontal="center"/>
    </xf>
    <xf numFmtId="175" fontId="0" fillId="9" borderId="79" xfId="2" applyNumberFormat="1" applyFont="1" applyFill="1" applyBorder="1" applyAlignment="1">
      <alignment horizontal="center"/>
    </xf>
    <xf numFmtId="175" fontId="0" fillId="9" borderId="80" xfId="2" applyNumberFormat="1" applyFont="1" applyFill="1" applyBorder="1" applyAlignment="1">
      <alignment horizontal="center"/>
    </xf>
    <xf numFmtId="0" fontId="0" fillId="5" borderId="2" xfId="0" applyFill="1" applyBorder="1" applyAlignment="1" applyProtection="1">
      <alignment horizontal="center"/>
      <protection locked="0"/>
    </xf>
    <xf numFmtId="0" fontId="0" fillId="5" borderId="3" xfId="0" applyFill="1" applyBorder="1" applyAlignment="1" applyProtection="1">
      <alignment horizontal="center"/>
      <protection locked="0"/>
    </xf>
    <xf numFmtId="176" fontId="0" fillId="7" borderId="2" xfId="0" applyNumberFormat="1" applyFill="1" applyBorder="1" applyAlignment="1">
      <alignment horizontal="center"/>
    </xf>
    <xf numFmtId="176" fontId="0" fillId="7" borderId="3" xfId="0" applyNumberFormat="1" applyFill="1" applyBorder="1" applyAlignment="1">
      <alignment horizontal="center"/>
    </xf>
    <xf numFmtId="0" fontId="6" fillId="0" borderId="0" xfId="0" applyFont="1" applyAlignment="1">
      <alignment horizontal="center" vertical="center" wrapText="1"/>
    </xf>
    <xf numFmtId="0" fontId="6" fillId="0" borderId="32" xfId="0" applyFont="1" applyBorder="1" applyAlignment="1">
      <alignment horizontal="center" vertical="center" wrapText="1"/>
    </xf>
    <xf numFmtId="0" fontId="6" fillId="0" borderId="0" xfId="0" applyFont="1" applyAlignment="1">
      <alignment horizontal="center" vertical="top" wrapText="1"/>
    </xf>
    <xf numFmtId="0" fontId="6" fillId="0" borderId="32" xfId="0" applyFont="1" applyBorder="1" applyAlignment="1">
      <alignment horizontal="center" vertical="top" wrapText="1"/>
    </xf>
    <xf numFmtId="0" fontId="3" fillId="0" borderId="0" xfId="0" applyFont="1" applyAlignment="1">
      <alignment horizontal="center" vertical="center"/>
    </xf>
    <xf numFmtId="0" fontId="3" fillId="0" borderId="32" xfId="0" applyFont="1" applyBorder="1" applyAlignment="1">
      <alignment horizontal="center" vertical="center"/>
    </xf>
    <xf numFmtId="0" fontId="0" fillId="0" borderId="44" xfId="0" applyBorder="1" applyAlignment="1">
      <alignment horizontal="left" wrapText="1"/>
    </xf>
    <xf numFmtId="0" fontId="0" fillId="0" borderId="46" xfId="0" applyBorder="1" applyAlignment="1">
      <alignment horizontal="left" wrapText="1"/>
    </xf>
    <xf numFmtId="174" fontId="0" fillId="0" borderId="31" xfId="0" applyNumberFormat="1" applyBorder="1" applyAlignment="1">
      <alignment horizontal="center" vertical="center"/>
    </xf>
    <xf numFmtId="174" fontId="0" fillId="0" borderId="33" xfId="0" applyNumberFormat="1" applyBorder="1" applyAlignment="1">
      <alignment horizontal="center" vertical="center"/>
    </xf>
    <xf numFmtId="174" fontId="0" fillId="5" borderId="2" xfId="0" applyNumberFormat="1" applyFill="1" applyBorder="1" applyAlignment="1" applyProtection="1">
      <alignment horizontal="center" vertical="center"/>
      <protection locked="0"/>
    </xf>
    <xf numFmtId="174" fontId="0" fillId="5" borderId="3" xfId="0" applyNumberFormat="1" applyFill="1" applyBorder="1" applyAlignment="1" applyProtection="1">
      <alignment horizontal="center" vertical="center"/>
      <protection locked="0"/>
    </xf>
    <xf numFmtId="0" fontId="0" fillId="6" borderId="2" xfId="0" applyFill="1" applyBorder="1" applyAlignment="1">
      <alignment horizontal="center"/>
    </xf>
    <xf numFmtId="0" fontId="0" fillId="6" borderId="3" xfId="0" applyFill="1" applyBorder="1" applyAlignment="1">
      <alignment horizontal="center"/>
    </xf>
    <xf numFmtId="174" fontId="0" fillId="9" borderId="79" xfId="0" applyNumberFormat="1" applyFill="1" applyBorder="1" applyAlignment="1">
      <alignment horizontal="center" vertical="center"/>
    </xf>
    <xf numFmtId="174" fontId="0" fillId="9" borderId="80" xfId="0" applyNumberFormat="1" applyFill="1" applyBorder="1" applyAlignment="1">
      <alignment horizontal="center" vertical="center"/>
    </xf>
    <xf numFmtId="174" fontId="0" fillId="0" borderId="18" xfId="0" applyNumberFormat="1" applyBorder="1" applyAlignment="1">
      <alignment horizontal="center" vertical="center"/>
    </xf>
    <xf numFmtId="174" fontId="0" fillId="0" borderId="30" xfId="0" applyNumberFormat="1" applyBorder="1" applyAlignment="1">
      <alignment horizontal="center" vertical="center"/>
    </xf>
    <xf numFmtId="174" fontId="0" fillId="0" borderId="27" xfId="0" applyNumberFormat="1" applyBorder="1" applyAlignment="1">
      <alignment horizontal="center" vertical="center"/>
    </xf>
    <xf numFmtId="174" fontId="0" fillId="0" borderId="29" xfId="0" applyNumberFormat="1" applyBorder="1" applyAlignment="1">
      <alignment horizontal="center" vertical="center"/>
    </xf>
    <xf numFmtId="174" fontId="0" fillId="7" borderId="2" xfId="0" applyNumberFormat="1" applyFill="1" applyBorder="1" applyAlignment="1">
      <alignment horizontal="center"/>
    </xf>
    <xf numFmtId="174" fontId="0" fillId="7" borderId="3" xfId="0" applyNumberFormat="1" applyFill="1" applyBorder="1" applyAlignment="1">
      <alignment horizontal="center"/>
    </xf>
    <xf numFmtId="4" fontId="0" fillId="9" borderId="2" xfId="0" applyNumberFormat="1" applyFill="1" applyBorder="1" applyAlignment="1">
      <alignment horizontal="center"/>
    </xf>
    <xf numFmtId="174" fontId="0" fillId="9" borderId="2" xfId="0" applyNumberFormat="1" applyFill="1" applyBorder="1" applyAlignment="1">
      <alignment horizontal="center" vertical="center"/>
    </xf>
    <xf numFmtId="174" fontId="0" fillId="9" borderId="3" xfId="0" applyNumberFormat="1" applyFill="1" applyBorder="1" applyAlignment="1">
      <alignment horizontal="center" vertical="center"/>
    </xf>
    <xf numFmtId="174" fontId="0" fillId="0" borderId="2" xfId="0" applyNumberFormat="1" applyBorder="1" applyAlignment="1">
      <alignment horizontal="center" vertical="center"/>
    </xf>
    <xf numFmtId="174" fontId="0" fillId="0" borderId="3" xfId="0" applyNumberFormat="1" applyBorder="1" applyAlignment="1">
      <alignment horizontal="center" vertical="center"/>
    </xf>
    <xf numFmtId="174" fontId="0" fillId="0" borderId="79" xfId="0" applyNumberFormat="1" applyBorder="1" applyAlignment="1">
      <alignment horizontal="center" vertical="center"/>
    </xf>
    <xf numFmtId="174" fontId="0" fillId="0" borderId="80" xfId="0" applyNumberFormat="1" applyBorder="1" applyAlignment="1">
      <alignment horizontal="center" vertical="center"/>
    </xf>
    <xf numFmtId="174" fontId="0" fillId="5" borderId="79" xfId="0" applyNumberFormat="1" applyFill="1" applyBorder="1" applyAlignment="1" applyProtection="1">
      <alignment horizontal="center" vertical="center"/>
      <protection locked="0"/>
    </xf>
    <xf numFmtId="174" fontId="0" fillId="5" borderId="80" xfId="0" applyNumberFormat="1" applyFill="1" applyBorder="1" applyAlignment="1" applyProtection="1">
      <alignment horizontal="center" vertical="center"/>
      <protection locked="0"/>
    </xf>
    <xf numFmtId="4" fontId="0" fillId="7" borderId="2" xfId="0" applyNumberFormat="1" applyFill="1" applyBorder="1" applyAlignment="1">
      <alignment horizontal="center"/>
    </xf>
    <xf numFmtId="4" fontId="0" fillId="7" borderId="3" xfId="0" applyNumberFormat="1" applyFill="1" applyBorder="1" applyAlignment="1">
      <alignment horizontal="center"/>
    </xf>
    <xf numFmtId="0" fontId="0" fillId="0" borderId="43" xfId="0" applyBorder="1" applyAlignment="1">
      <alignment horizontal="left" wrapText="1"/>
    </xf>
    <xf numFmtId="0" fontId="0" fillId="0" borderId="45" xfId="0" applyBorder="1" applyAlignment="1">
      <alignment horizontal="left" wrapText="1"/>
    </xf>
    <xf numFmtId="0" fontId="0" fillId="0" borderId="44" xfId="0" applyBorder="1" applyAlignment="1">
      <alignment horizontal="left"/>
    </xf>
    <xf numFmtId="0" fontId="0" fillId="0" borderId="46" xfId="0" applyBorder="1" applyAlignment="1">
      <alignment horizontal="left"/>
    </xf>
    <xf numFmtId="0" fontId="0" fillId="8" borderId="2" xfId="0" applyFill="1" applyBorder="1" applyAlignment="1">
      <alignment horizontal="center"/>
    </xf>
    <xf numFmtId="0" fontId="0" fillId="8" borderId="3" xfId="0" applyFill="1" applyBorder="1" applyAlignment="1">
      <alignment horizontal="center"/>
    </xf>
    <xf numFmtId="0" fontId="0" fillId="5" borderId="79" xfId="0" applyFill="1" applyBorder="1" applyAlignment="1" applyProtection="1">
      <alignment horizontal="center"/>
      <protection locked="0"/>
    </xf>
    <xf numFmtId="0" fontId="0" fillId="5" borderId="80" xfId="0" applyFill="1" applyBorder="1" applyAlignment="1" applyProtection="1">
      <alignment horizontal="center"/>
      <protection locked="0"/>
    </xf>
    <xf numFmtId="0" fontId="6" fillId="0" borderId="68" xfId="0" applyFont="1" applyBorder="1" applyAlignment="1">
      <alignment horizontal="left"/>
    </xf>
    <xf numFmtId="0" fontId="6" fillId="0" borderId="69" xfId="0" applyFont="1" applyBorder="1" applyAlignment="1">
      <alignment horizontal="left"/>
    </xf>
    <xf numFmtId="0" fontId="0" fillId="0" borderId="43" xfId="0" applyBorder="1" applyAlignment="1">
      <alignment horizontal="left"/>
    </xf>
    <xf numFmtId="0" fontId="0" fillId="0" borderId="45" xfId="0" applyBorder="1" applyAlignment="1">
      <alignment horizontal="left"/>
    </xf>
    <xf numFmtId="174" fontId="0" fillId="9" borderId="2" xfId="0" applyNumberFormat="1" applyFill="1" applyBorder="1" applyAlignment="1">
      <alignment horizontal="center"/>
    </xf>
    <xf numFmtId="174" fontId="0" fillId="9" borderId="3" xfId="0" applyNumberFormat="1" applyFill="1" applyBorder="1" applyAlignment="1">
      <alignment horizontal="center"/>
    </xf>
    <xf numFmtId="0" fontId="0" fillId="5" borderId="9" xfId="0" applyFill="1" applyBorder="1" applyAlignment="1" applyProtection="1">
      <alignment horizontal="center"/>
      <protection locked="0"/>
    </xf>
    <xf numFmtId="174" fontId="0" fillId="5" borderId="2" xfId="0" applyNumberFormat="1" applyFill="1" applyBorder="1" applyAlignment="1" applyProtection="1">
      <alignment horizontal="center"/>
      <protection locked="0"/>
    </xf>
    <xf numFmtId="174" fontId="0" fillId="5" borderId="3" xfId="0" applyNumberFormat="1" applyFill="1" applyBorder="1" applyAlignment="1" applyProtection="1">
      <alignment horizontal="center"/>
      <protection locked="0"/>
    </xf>
    <xf numFmtId="174" fontId="0" fillId="7" borderId="79" xfId="0" applyNumberFormat="1" applyFill="1" applyBorder="1" applyAlignment="1">
      <alignment horizontal="center"/>
    </xf>
    <xf numFmtId="174" fontId="0" fillId="7" borderId="80" xfId="0" applyNumberFormat="1" applyFill="1" applyBorder="1" applyAlignment="1">
      <alignment horizontal="center"/>
    </xf>
    <xf numFmtId="0" fontId="0" fillId="5" borderId="27" xfId="0" applyFill="1" applyBorder="1" applyAlignment="1" applyProtection="1">
      <alignment horizontal="left" vertical="top" wrapText="1"/>
      <protection locked="0"/>
    </xf>
    <xf numFmtId="0" fontId="0" fillId="7" borderId="2" xfId="0" applyFill="1" applyBorder="1" applyAlignment="1">
      <alignment horizontal="center"/>
    </xf>
    <xf numFmtId="0" fontId="0" fillId="7" borderId="3" xfId="0" applyFill="1" applyBorder="1" applyAlignment="1">
      <alignment horizontal="center"/>
    </xf>
    <xf numFmtId="174" fontId="0" fillId="7" borderId="27" xfId="0" applyNumberFormat="1" applyFill="1" applyBorder="1" applyAlignment="1">
      <alignment horizontal="center" vertical="center"/>
    </xf>
    <xf numFmtId="174" fontId="0" fillId="7" borderId="29" xfId="0" applyNumberFormat="1" applyFill="1" applyBorder="1" applyAlignment="1">
      <alignment horizontal="center" vertical="center"/>
    </xf>
    <xf numFmtId="174" fontId="0" fillId="7" borderId="31" xfId="0" applyNumberFormat="1" applyFill="1" applyBorder="1" applyAlignment="1">
      <alignment horizontal="center" vertical="center"/>
    </xf>
    <xf numFmtId="174" fontId="0" fillId="7" borderId="33" xfId="0" applyNumberFormat="1" applyFill="1" applyBorder="1" applyAlignment="1">
      <alignment horizontal="center" vertical="center"/>
    </xf>
    <xf numFmtId="0" fontId="12" fillId="0" borderId="0" xfId="0" applyFont="1" applyAlignment="1">
      <alignment horizontal="center" vertical="center" wrapText="1"/>
    </xf>
    <xf numFmtId="0" fontId="0" fillId="9" borderId="27" xfId="0" applyFill="1" applyBorder="1" applyAlignment="1">
      <alignment horizontal="center" vertical="center"/>
    </xf>
    <xf numFmtId="0" fontId="0" fillId="9" borderId="29" xfId="0" applyFill="1" applyBorder="1" applyAlignment="1">
      <alignment horizontal="center" vertical="center"/>
    </xf>
    <xf numFmtId="0" fontId="0" fillId="9" borderId="31" xfId="0" applyFill="1" applyBorder="1" applyAlignment="1">
      <alignment horizontal="center" vertical="center"/>
    </xf>
    <xf numFmtId="0" fontId="0" fillId="9" borderId="33" xfId="0" applyFill="1" applyBorder="1" applyAlignment="1">
      <alignment horizontal="center" vertical="center"/>
    </xf>
    <xf numFmtId="2" fontId="0" fillId="8" borderId="2" xfId="0" applyNumberFormat="1" applyFill="1" applyBorder="1" applyAlignment="1">
      <alignment horizontal="center"/>
    </xf>
    <xf numFmtId="2" fontId="0" fillId="8" borderId="3" xfId="0" applyNumberFormat="1" applyFill="1" applyBorder="1" applyAlignment="1">
      <alignment horizontal="center"/>
    </xf>
    <xf numFmtId="4" fontId="0" fillId="8" borderId="79" xfId="0" applyNumberFormat="1" applyFill="1" applyBorder="1" applyAlignment="1">
      <alignment horizontal="center" vertical="center"/>
    </xf>
    <xf numFmtId="4" fontId="0" fillId="8" borderId="80" xfId="0" applyNumberFormat="1" applyFill="1" applyBorder="1" applyAlignment="1">
      <alignment horizontal="center" vertical="center"/>
    </xf>
    <xf numFmtId="0" fontId="4" fillId="0" borderId="0" xfId="0" applyFont="1" applyAlignment="1">
      <alignment horizontal="left" vertical="top" wrapText="1"/>
    </xf>
    <xf numFmtId="2" fontId="0" fillId="9" borderId="75" xfId="0" applyNumberFormat="1" applyFill="1" applyBorder="1" applyAlignment="1">
      <alignment horizontal="center"/>
    </xf>
    <xf numFmtId="2" fontId="0" fillId="8" borderId="79" xfId="0" applyNumberFormat="1" applyFill="1" applyBorder="1" applyAlignment="1">
      <alignment horizontal="center"/>
    </xf>
    <xf numFmtId="2" fontId="0" fillId="8" borderId="80" xfId="0" applyNumberFormat="1" applyFill="1" applyBorder="1" applyAlignment="1">
      <alignment horizontal="center"/>
    </xf>
    <xf numFmtId="2" fontId="1" fillId="12" borderId="79" xfId="0" applyNumberFormat="1" applyFont="1" applyFill="1" applyBorder="1" applyAlignment="1">
      <alignment horizontal="center"/>
    </xf>
    <xf numFmtId="2" fontId="1" fillId="12" borderId="80" xfId="0" applyNumberFormat="1" applyFont="1" applyFill="1" applyBorder="1" applyAlignment="1">
      <alignment horizontal="center"/>
    </xf>
    <xf numFmtId="0" fontId="3" fillId="8" borderId="2" xfId="0" applyFont="1" applyFill="1" applyBorder="1" applyAlignment="1">
      <alignment horizontal="center"/>
    </xf>
    <xf numFmtId="0" fontId="3" fillId="8" borderId="3" xfId="0" applyFont="1" applyFill="1" applyBorder="1" applyAlignment="1">
      <alignment horizontal="center"/>
    </xf>
    <xf numFmtId="0" fontId="0" fillId="0" borderId="87" xfId="0" applyBorder="1" applyAlignment="1">
      <alignment horizontal="center" vertical="center" wrapText="1"/>
    </xf>
    <xf numFmtId="0" fontId="0" fillId="0" borderId="86" xfId="0" applyBorder="1" applyAlignment="1">
      <alignment horizontal="center" vertical="center" wrapText="1"/>
    </xf>
    <xf numFmtId="0" fontId="12" fillId="0" borderId="53" xfId="0" applyFont="1" applyBorder="1" applyAlignment="1">
      <alignment horizontal="center" vertical="center"/>
    </xf>
    <xf numFmtId="0" fontId="12" fillId="0" borderId="70" xfId="0" applyFont="1" applyBorder="1" applyAlignment="1">
      <alignment horizontal="center" vertical="center"/>
    </xf>
    <xf numFmtId="0" fontId="0" fillId="9" borderId="143" xfId="0" applyFill="1" applyBorder="1" applyAlignment="1">
      <alignment horizontal="center"/>
    </xf>
    <xf numFmtId="0" fontId="0" fillId="5" borderId="79" xfId="0" quotePrefix="1" applyFill="1" applyBorder="1" applyAlignment="1" applyProtection="1">
      <alignment horizontal="center"/>
      <protection locked="0"/>
    </xf>
    <xf numFmtId="0" fontId="0" fillId="5" borderId="84" xfId="0" applyFill="1" applyBorder="1" applyAlignment="1" applyProtection="1">
      <alignment horizontal="center"/>
      <protection locked="0"/>
    </xf>
    <xf numFmtId="0" fontId="6" fillId="5" borderId="191" xfId="0" applyFont="1" applyFill="1" applyBorder="1" applyAlignment="1" applyProtection="1">
      <alignment horizontal="center"/>
      <protection locked="0"/>
    </xf>
    <xf numFmtId="0" fontId="6" fillId="5" borderId="192" xfId="0" applyFont="1" applyFill="1" applyBorder="1" applyAlignment="1" applyProtection="1">
      <alignment horizontal="center"/>
      <protection locked="0"/>
    </xf>
    <xf numFmtId="0" fontId="6" fillId="5" borderId="193" xfId="0" applyFont="1" applyFill="1" applyBorder="1" applyAlignment="1" applyProtection="1">
      <alignment horizontal="center"/>
      <protection locked="0"/>
    </xf>
    <xf numFmtId="0" fontId="3" fillId="9" borderId="67" xfId="0" applyFont="1" applyFill="1" applyBorder="1" applyAlignment="1">
      <alignment horizontal="center"/>
    </xf>
    <xf numFmtId="2" fontId="0" fillId="9" borderId="76" xfId="0" applyNumberFormat="1" applyFill="1" applyBorder="1" applyAlignment="1">
      <alignment horizontal="center"/>
    </xf>
    <xf numFmtId="4" fontId="0" fillId="9" borderId="78" xfId="0" applyNumberFormat="1" applyFill="1" applyBorder="1" applyAlignment="1">
      <alignment horizontal="center"/>
    </xf>
    <xf numFmtId="0" fontId="0" fillId="5" borderId="153" xfId="0" applyFill="1" applyBorder="1" applyAlignment="1" applyProtection="1">
      <alignment horizontal="center" vertical="center"/>
      <protection locked="0"/>
    </xf>
    <xf numFmtId="0" fontId="0" fillId="5" borderId="107" xfId="0" applyFill="1" applyBorder="1" applyAlignment="1" applyProtection="1">
      <alignment horizontal="center" vertical="center"/>
      <protection locked="0"/>
    </xf>
    <xf numFmtId="0" fontId="0" fillId="0" borderId="153" xfId="0" applyBorder="1" applyAlignment="1">
      <alignment horizontal="center" vertical="center" wrapText="1"/>
    </xf>
    <xf numFmtId="0" fontId="0" fillId="0" borderId="107" xfId="0" applyBorder="1" applyAlignment="1">
      <alignment horizontal="center" vertical="center"/>
    </xf>
    <xf numFmtId="0" fontId="0" fillId="5" borderId="82" xfId="0" applyFill="1" applyBorder="1" applyAlignment="1" applyProtection="1">
      <alignment horizontal="center" vertical="center"/>
      <protection locked="0"/>
    </xf>
    <xf numFmtId="0" fontId="0" fillId="5" borderId="83" xfId="0" applyFill="1" applyBorder="1" applyAlignment="1" applyProtection="1">
      <alignment horizontal="center" vertical="center"/>
      <protection locked="0"/>
    </xf>
    <xf numFmtId="0" fontId="0" fillId="0" borderId="153" xfId="0" applyBorder="1" applyAlignment="1">
      <alignment horizontal="center" vertical="center"/>
    </xf>
    <xf numFmtId="0" fontId="3" fillId="0" borderId="53" xfId="0" applyFont="1" applyBorder="1" applyAlignment="1">
      <alignment horizontal="center" vertical="center" wrapText="1"/>
    </xf>
    <xf numFmtId="0" fontId="3" fillId="0" borderId="70" xfId="0" applyFont="1" applyBorder="1" applyAlignment="1">
      <alignment horizontal="center" vertical="center" wrapText="1"/>
    </xf>
    <xf numFmtId="0" fontId="3" fillId="0" borderId="179" xfId="0" applyFont="1" applyBorder="1" applyAlignment="1">
      <alignment horizontal="center" vertical="center" wrapText="1"/>
    </xf>
    <xf numFmtId="0" fontId="0" fillId="5" borderId="27" xfId="0" applyFill="1" applyBorder="1" applyAlignment="1" applyProtection="1">
      <alignment horizontal="center" vertical="center"/>
      <protection locked="0"/>
    </xf>
    <xf numFmtId="0" fontId="0" fillId="5" borderId="152" xfId="0" applyFill="1" applyBorder="1" applyAlignment="1" applyProtection="1">
      <alignment horizontal="center" vertical="center"/>
      <protection locked="0"/>
    </xf>
    <xf numFmtId="0" fontId="0" fillId="0" borderId="28" xfId="0" applyBorder="1" applyAlignment="1">
      <alignment horizontal="left"/>
    </xf>
    <xf numFmtId="0" fontId="0" fillId="0" borderId="29" xfId="0" applyBorder="1" applyAlignment="1">
      <alignment horizontal="left"/>
    </xf>
    <xf numFmtId="0" fontId="0" fillId="0" borderId="48" xfId="0" applyBorder="1" applyAlignment="1">
      <alignment horizontal="center"/>
    </xf>
    <xf numFmtId="0" fontId="0" fillId="0" borderId="77" xfId="0" applyBorder="1" applyAlignment="1">
      <alignment horizontal="center"/>
    </xf>
    <xf numFmtId="0" fontId="3" fillId="0" borderId="165" xfId="0" applyFont="1" applyBorder="1" applyAlignment="1">
      <alignment horizontal="center" vertical="center"/>
    </xf>
    <xf numFmtId="0" fontId="3" fillId="0" borderId="28" xfId="0" applyFont="1" applyBorder="1" applyAlignment="1">
      <alignment horizontal="center" vertical="center"/>
    </xf>
    <xf numFmtId="0" fontId="3" fillId="0" borderId="49" xfId="0" applyFont="1" applyBorder="1" applyAlignment="1">
      <alignment horizontal="center" vertical="center"/>
    </xf>
    <xf numFmtId="0" fontId="3" fillId="0" borderId="48" xfId="0" applyFont="1" applyBorder="1" applyAlignment="1">
      <alignment horizontal="center" vertical="center"/>
    </xf>
    <xf numFmtId="0" fontId="3" fillId="0" borderId="51" xfId="0" applyFont="1" applyBorder="1" applyAlignment="1">
      <alignment horizontal="center" vertical="center"/>
    </xf>
    <xf numFmtId="171" fontId="11" fillId="33" borderId="79" xfId="0" applyNumberFormat="1" applyFont="1" applyFill="1" applyBorder="1" applyAlignment="1">
      <alignment horizontal="center" vertical="center"/>
    </xf>
    <xf numFmtId="171" fontId="11" fillId="33" borderId="80" xfId="0" applyNumberFormat="1" applyFont="1" applyFill="1" applyBorder="1" applyAlignment="1">
      <alignment horizontal="center" vertical="center"/>
    </xf>
    <xf numFmtId="2" fontId="22" fillId="42" borderId="79" xfId="0" applyNumberFormat="1" applyFont="1" applyFill="1" applyBorder="1" applyAlignment="1">
      <alignment horizontal="center" vertical="center"/>
    </xf>
    <xf numFmtId="2" fontId="22" fillId="42" borderId="80" xfId="0" applyNumberFormat="1" applyFont="1" applyFill="1" applyBorder="1" applyAlignment="1">
      <alignment horizontal="center" vertical="center"/>
    </xf>
    <xf numFmtId="0" fontId="41" fillId="9" borderId="27" xfId="0" applyFont="1" applyFill="1" applyBorder="1" applyAlignment="1">
      <alignment horizontal="center" vertical="center" wrapText="1"/>
    </xf>
    <xf numFmtId="0" fontId="41" fillId="9" borderId="28" xfId="0" applyFont="1" applyFill="1" applyBorder="1" applyAlignment="1">
      <alignment horizontal="center" vertical="center" wrapText="1"/>
    </xf>
    <xf numFmtId="0" fontId="41" fillId="9" borderId="152" xfId="0" applyFont="1" applyFill="1" applyBorder="1" applyAlignment="1">
      <alignment horizontal="center" vertical="center" wrapText="1"/>
    </xf>
    <xf numFmtId="0" fontId="41" fillId="9" borderId="18" xfId="0" applyFont="1" applyFill="1" applyBorder="1" applyAlignment="1">
      <alignment horizontal="center" vertical="center" wrapText="1"/>
    </xf>
    <xf numFmtId="0" fontId="41" fillId="9" borderId="0" xfId="0" applyFont="1" applyFill="1" applyAlignment="1">
      <alignment horizontal="center" vertical="center" wrapText="1"/>
    </xf>
    <xf numFmtId="0" fontId="41" fillId="9" borderId="52" xfId="0" applyFont="1" applyFill="1" applyBorder="1" applyAlignment="1">
      <alignment horizontal="center" vertical="center" wrapText="1"/>
    </xf>
    <xf numFmtId="0" fontId="41" fillId="9" borderId="95" xfId="0" applyFont="1" applyFill="1" applyBorder="1" applyAlignment="1">
      <alignment horizontal="center" vertical="center" wrapText="1"/>
    </xf>
    <xf numFmtId="0" fontId="41" fillId="9" borderId="48" xfId="0" applyFont="1" applyFill="1" applyBorder="1" applyAlignment="1">
      <alignment horizontal="center" vertical="center" wrapText="1"/>
    </xf>
    <xf numFmtId="0" fontId="41" fillId="9" borderId="50" xfId="0" applyFont="1" applyFill="1" applyBorder="1" applyAlignment="1">
      <alignment horizontal="center" vertical="center" wrapText="1"/>
    </xf>
    <xf numFmtId="171" fontId="11" fillId="33" borderId="82" xfId="0" applyNumberFormat="1" applyFont="1" applyFill="1" applyBorder="1" applyAlignment="1">
      <alignment horizontal="center" vertical="center"/>
    </xf>
    <xf numFmtId="171" fontId="11" fillId="33" borderId="83" xfId="0" applyNumberFormat="1" applyFont="1" applyFill="1" applyBorder="1" applyAlignment="1">
      <alignment horizontal="center" vertical="center"/>
    </xf>
    <xf numFmtId="174" fontId="0" fillId="5" borderId="79" xfId="0" applyNumberFormat="1" applyFill="1" applyBorder="1" applyAlignment="1" applyProtection="1">
      <alignment horizontal="center"/>
      <protection locked="0"/>
    </xf>
    <xf numFmtId="174" fontId="0" fillId="5" borderId="80" xfId="0" applyNumberFormat="1" applyFill="1" applyBorder="1" applyAlignment="1" applyProtection="1">
      <alignment horizontal="center"/>
      <protection locked="0"/>
    </xf>
    <xf numFmtId="2" fontId="0" fillId="8" borderId="79" xfId="0" applyNumberFormat="1" applyFill="1" applyBorder="1" applyAlignment="1">
      <alignment horizontal="center" vertical="center"/>
    </xf>
    <xf numFmtId="2" fontId="0" fillId="8" borderId="80" xfId="0" applyNumberFormat="1" applyFill="1" applyBorder="1" applyAlignment="1">
      <alignment horizontal="center" vertical="center"/>
    </xf>
    <xf numFmtId="175" fontId="0" fillId="9" borderId="79" xfId="0" applyNumberFormat="1" applyFill="1" applyBorder="1" applyAlignment="1">
      <alignment horizontal="center"/>
    </xf>
    <xf numFmtId="175" fontId="0" fillId="9" borderId="80" xfId="0" applyNumberFormat="1" applyFill="1" applyBorder="1" applyAlignment="1">
      <alignment horizontal="center"/>
    </xf>
    <xf numFmtId="0" fontId="0" fillId="0" borderId="0" xfId="0" applyAlignment="1">
      <alignment horizontal="center" vertical="center"/>
    </xf>
    <xf numFmtId="174" fontId="0" fillId="9" borderId="79" xfId="0" applyNumberFormat="1" applyFill="1" applyBorder="1" applyAlignment="1">
      <alignment horizontal="center"/>
    </xf>
    <xf numFmtId="174" fontId="0" fillId="9" borderId="80" xfId="0" applyNumberFormat="1" applyFill="1" applyBorder="1" applyAlignment="1">
      <alignment horizontal="center"/>
    </xf>
    <xf numFmtId="4" fontId="0" fillId="8" borderId="79" xfId="0" applyNumberFormat="1" applyFill="1" applyBorder="1" applyAlignment="1">
      <alignment horizontal="center"/>
    </xf>
    <xf numFmtId="4" fontId="0" fillId="8" borderId="80" xfId="0" applyNumberFormat="1" applyFill="1" applyBorder="1" applyAlignment="1">
      <alignment horizontal="center"/>
    </xf>
    <xf numFmtId="175" fontId="0" fillId="5" borderId="79" xfId="0" applyNumberFormat="1" applyFill="1" applyBorder="1" applyAlignment="1" applyProtection="1">
      <alignment horizontal="center"/>
      <protection locked="0"/>
    </xf>
    <xf numFmtId="175" fontId="0" fillId="5" borderId="80" xfId="0" applyNumberFormat="1" applyFill="1" applyBorder="1" applyAlignment="1" applyProtection="1">
      <alignment horizontal="center"/>
      <protection locked="0"/>
    </xf>
    <xf numFmtId="4" fontId="3" fillId="8" borderId="79" xfId="0" applyNumberFormat="1" applyFont="1" applyFill="1" applyBorder="1" applyAlignment="1">
      <alignment horizontal="center" vertical="center"/>
    </xf>
    <xf numFmtId="4" fontId="3" fillId="8" borderId="80" xfId="0" applyNumberFormat="1" applyFont="1" applyFill="1" applyBorder="1" applyAlignment="1">
      <alignment horizontal="center" vertical="center"/>
    </xf>
    <xf numFmtId="0" fontId="0" fillId="8" borderId="79" xfId="0" applyFill="1" applyBorder="1" applyAlignment="1">
      <alignment horizontal="center" vertical="center"/>
    </xf>
    <xf numFmtId="0" fontId="0" fillId="8" borderId="80" xfId="0" applyFill="1" applyBorder="1" applyAlignment="1">
      <alignment horizontal="center" vertical="center"/>
    </xf>
    <xf numFmtId="0" fontId="3" fillId="0" borderId="32" xfId="0" applyFont="1" applyBorder="1" applyAlignment="1">
      <alignment horizontal="center"/>
    </xf>
    <xf numFmtId="0" fontId="0" fillId="9" borderId="79" xfId="0" applyFill="1" applyBorder="1" applyAlignment="1">
      <alignment horizontal="center"/>
    </xf>
    <xf numFmtId="0" fontId="0" fillId="9" borderId="80" xfId="0" applyFill="1" applyBorder="1" applyAlignment="1">
      <alignment horizontal="center"/>
    </xf>
    <xf numFmtId="0" fontId="3" fillId="8" borderId="79" xfId="0" applyFont="1" applyFill="1" applyBorder="1" applyAlignment="1">
      <alignment horizontal="center" vertical="center"/>
    </xf>
    <xf numFmtId="0" fontId="3" fillId="8" borderId="80" xfId="0" applyFont="1" applyFill="1" applyBorder="1" applyAlignment="1">
      <alignment horizontal="center" vertical="center"/>
    </xf>
    <xf numFmtId="2" fontId="1" fillId="12" borderId="18" xfId="0" applyNumberFormat="1" applyFont="1" applyFill="1" applyBorder="1" applyAlignment="1">
      <alignment horizontal="center"/>
    </xf>
    <xf numFmtId="2" fontId="1" fillId="12" borderId="0" xfId="0" applyNumberFormat="1" applyFont="1" applyFill="1" applyAlignment="1">
      <alignment horizontal="center"/>
    </xf>
    <xf numFmtId="0" fontId="0" fillId="0" borderId="87" xfId="0" applyBorder="1" applyAlignment="1">
      <alignment horizontal="center" vertical="center"/>
    </xf>
    <xf numFmtId="2" fontId="3" fillId="8" borderId="79" xfId="0" applyNumberFormat="1" applyFont="1" applyFill="1" applyBorder="1" applyAlignment="1">
      <alignment horizontal="center"/>
    </xf>
    <xf numFmtId="2" fontId="3" fillId="8" borderId="80" xfId="0" applyNumberFormat="1" applyFont="1" applyFill="1" applyBorder="1" applyAlignment="1">
      <alignment horizontal="center"/>
    </xf>
    <xf numFmtId="0" fontId="6" fillId="0" borderId="32" xfId="0" applyFont="1" applyBorder="1" applyAlignment="1">
      <alignment horizontal="center"/>
    </xf>
    <xf numFmtId="0" fontId="3" fillId="0" borderId="31" xfId="0" quotePrefix="1" applyFont="1" applyBorder="1" applyAlignment="1">
      <alignment horizontal="center"/>
    </xf>
    <xf numFmtId="0" fontId="1" fillId="12" borderId="2" xfId="0" applyFont="1" applyFill="1" applyBorder="1" applyAlignment="1">
      <alignment horizontal="center"/>
    </xf>
    <xf numFmtId="0" fontId="1" fillId="12" borderId="3" xfId="0" applyFont="1" applyFill="1" applyBorder="1" applyAlignment="1">
      <alignment horizontal="center"/>
    </xf>
    <xf numFmtId="0" fontId="41" fillId="0" borderId="153" xfId="0" applyFont="1" applyBorder="1" applyAlignment="1">
      <alignment horizontal="center" vertical="center" wrapText="1"/>
    </xf>
    <xf numFmtId="0" fontId="41" fillId="0" borderId="105" xfId="0" applyFont="1" applyBorder="1" applyAlignment="1">
      <alignment horizontal="center" vertical="center" wrapText="1"/>
    </xf>
    <xf numFmtId="0" fontId="41" fillId="0" borderId="120" xfId="0" applyFont="1" applyBorder="1" applyAlignment="1">
      <alignment horizontal="center" vertical="center" wrapText="1"/>
    </xf>
    <xf numFmtId="2" fontId="22" fillId="42" borderId="82" xfId="0" applyNumberFormat="1" applyFont="1" applyFill="1" applyBorder="1" applyAlignment="1">
      <alignment horizontal="center" vertical="center"/>
    </xf>
    <xf numFmtId="2" fontId="22" fillId="42" borderId="83" xfId="0" applyNumberFormat="1" applyFont="1" applyFill="1" applyBorder="1" applyAlignment="1">
      <alignment horizontal="center" vertical="center"/>
    </xf>
    <xf numFmtId="0" fontId="41" fillId="0" borderId="107" xfId="0" applyFont="1" applyBorder="1" applyAlignment="1">
      <alignment horizontal="center" vertical="center" wrapText="1"/>
    </xf>
    <xf numFmtId="0" fontId="41" fillId="7" borderId="27" xfId="0" applyFont="1" applyFill="1" applyBorder="1" applyAlignment="1">
      <alignment horizontal="center" vertical="center" wrapText="1"/>
    </xf>
    <xf numFmtId="0" fontId="41" fillId="7" borderId="28" xfId="0" applyFont="1" applyFill="1" applyBorder="1" applyAlignment="1">
      <alignment horizontal="center" vertical="center" wrapText="1"/>
    </xf>
    <xf numFmtId="0" fontId="41" fillId="7" borderId="29" xfId="0" applyFont="1" applyFill="1" applyBorder="1" applyAlignment="1">
      <alignment horizontal="center" vertical="center" wrapText="1"/>
    </xf>
    <xf numFmtId="0" fontId="41" fillId="7" borderId="18" xfId="0" applyFont="1" applyFill="1" applyBorder="1" applyAlignment="1">
      <alignment horizontal="center" vertical="center" wrapText="1"/>
    </xf>
    <xf numFmtId="0" fontId="41" fillId="7" borderId="0" xfId="0" applyFont="1" applyFill="1" applyAlignment="1">
      <alignment horizontal="center" vertical="center" wrapText="1"/>
    </xf>
    <xf numFmtId="0" fontId="41" fillId="7" borderId="30" xfId="0" applyFont="1" applyFill="1" applyBorder="1" applyAlignment="1">
      <alignment horizontal="center" vertical="center" wrapText="1"/>
    </xf>
    <xf numFmtId="0" fontId="41" fillId="7" borderId="95" xfId="0" applyFont="1" applyFill="1" applyBorder="1" applyAlignment="1">
      <alignment horizontal="center" vertical="center" wrapText="1"/>
    </xf>
    <xf numFmtId="0" fontId="41" fillId="7" borderId="48" xfId="0" applyFont="1" applyFill="1" applyBorder="1" applyAlignment="1">
      <alignment horizontal="center" vertical="center" wrapText="1"/>
    </xf>
    <xf numFmtId="0" fontId="41" fillId="7" borderId="77" xfId="0" applyFont="1" applyFill="1" applyBorder="1" applyAlignment="1">
      <alignment horizontal="center" vertical="center" wrapText="1"/>
    </xf>
    <xf numFmtId="2" fontId="0" fillId="8" borderId="84" xfId="0" applyNumberFormat="1" applyFill="1" applyBorder="1" applyAlignment="1">
      <alignment horizontal="center" vertical="center"/>
    </xf>
    <xf numFmtId="4" fontId="0" fillId="9" borderId="75" xfId="0" applyNumberFormat="1" applyFill="1" applyBorder="1" applyAlignment="1">
      <alignment horizontal="center"/>
    </xf>
    <xf numFmtId="4" fontId="0" fillId="9" borderId="76" xfId="0" applyNumberFormat="1" applyFill="1" applyBorder="1" applyAlignment="1">
      <alignment horizontal="center"/>
    </xf>
    <xf numFmtId="2" fontId="0" fillId="9" borderId="143" xfId="0" applyNumberFormat="1" applyFill="1" applyBorder="1" applyAlignment="1">
      <alignment horizontal="center"/>
    </xf>
    <xf numFmtId="4" fontId="0" fillId="9" borderId="85" xfId="0" applyNumberFormat="1" applyFill="1" applyBorder="1" applyAlignment="1">
      <alignment horizontal="center"/>
    </xf>
    <xf numFmtId="2" fontId="0" fillId="9" borderId="85" xfId="0" applyNumberFormat="1" applyFill="1" applyBorder="1" applyAlignment="1">
      <alignment horizontal="center"/>
    </xf>
    <xf numFmtId="2" fontId="0" fillId="9" borderId="180" xfId="0" applyNumberFormat="1" applyFill="1" applyBorder="1" applyAlignment="1">
      <alignment horizontal="center" vertical="center"/>
    </xf>
    <xf numFmtId="2" fontId="0" fillId="9" borderId="187" xfId="0" applyNumberFormat="1" applyFill="1" applyBorder="1" applyAlignment="1">
      <alignment horizontal="center" vertical="center"/>
    </xf>
    <xf numFmtId="2" fontId="0" fillId="9" borderId="176" xfId="0" applyNumberFormat="1" applyFill="1" applyBorder="1" applyAlignment="1">
      <alignment horizontal="center" vertical="center"/>
    </xf>
    <xf numFmtId="2" fontId="0" fillId="9" borderId="18" xfId="0" applyNumberFormat="1" applyFill="1" applyBorder="1" applyAlignment="1">
      <alignment horizontal="center" vertical="center"/>
    </xf>
    <xf numFmtId="0" fontId="0" fillId="5" borderId="29" xfId="0" applyFill="1" applyBorder="1" applyAlignment="1" applyProtection="1">
      <alignment horizontal="center" vertical="center"/>
      <protection locked="0"/>
    </xf>
    <xf numFmtId="0" fontId="11" fillId="0" borderId="0" xfId="0" applyFont="1" applyAlignment="1">
      <alignment horizontal="center"/>
    </xf>
    <xf numFmtId="176" fontId="0" fillId="5" borderId="2" xfId="0" applyNumberFormat="1" applyFill="1" applyBorder="1" applyAlignment="1" applyProtection="1">
      <alignment horizontal="center"/>
      <protection locked="0"/>
    </xf>
    <xf numFmtId="176" fontId="0" fillId="5" borderId="3" xfId="0" applyNumberFormat="1" applyFill="1" applyBorder="1" applyAlignment="1" applyProtection="1">
      <alignment horizontal="center"/>
      <protection locked="0"/>
    </xf>
    <xf numFmtId="0" fontId="0" fillId="5" borderId="1" xfId="0" applyFill="1" applyBorder="1" applyAlignment="1" applyProtection="1">
      <alignment horizontal="center"/>
      <protection locked="0"/>
    </xf>
    <xf numFmtId="0" fontId="0" fillId="0" borderId="0" xfId="0" applyAlignment="1">
      <alignment horizontal="center"/>
    </xf>
    <xf numFmtId="176" fontId="0" fillId="9" borderId="79" xfId="0" applyNumberFormat="1" applyFill="1" applyBorder="1" applyAlignment="1">
      <alignment horizontal="center"/>
    </xf>
    <xf numFmtId="176" fontId="0" fillId="9" borderId="80" xfId="0" applyNumberFormat="1" applyFill="1" applyBorder="1" applyAlignment="1">
      <alignment horizontal="center"/>
    </xf>
    <xf numFmtId="4" fontId="0" fillId="5" borderId="78" xfId="0" applyNumberFormat="1" applyFill="1" applyBorder="1" applyAlignment="1" applyProtection="1">
      <alignment horizontal="center"/>
      <protection locked="0"/>
    </xf>
    <xf numFmtId="4" fontId="0" fillId="9" borderId="79" xfId="0" applyNumberFormat="1" applyFill="1" applyBorder="1" applyAlignment="1">
      <alignment horizontal="center"/>
    </xf>
    <xf numFmtId="4" fontId="0" fillId="9" borderId="80" xfId="0" applyNumberFormat="1" applyFill="1" applyBorder="1" applyAlignment="1">
      <alignment horizontal="center"/>
    </xf>
    <xf numFmtId="0" fontId="42" fillId="0" borderId="32" xfId="0" applyFont="1" applyBorder="1" applyAlignment="1">
      <alignment horizontal="center"/>
    </xf>
    <xf numFmtId="1" fontId="0" fillId="9" borderId="78" xfId="0" applyNumberFormat="1" applyFill="1" applyBorder="1" applyAlignment="1">
      <alignment horizontal="center"/>
    </xf>
    <xf numFmtId="175" fontId="0" fillId="7" borderId="79" xfId="0" applyNumberFormat="1" applyFill="1" applyBorder="1" applyAlignment="1">
      <alignment horizontal="center"/>
    </xf>
    <xf numFmtId="175" fontId="0" fillId="7" borderId="80" xfId="0" applyNumberFormat="1" applyFill="1" applyBorder="1" applyAlignment="1">
      <alignment horizontal="center"/>
    </xf>
    <xf numFmtId="0" fontId="3" fillId="8" borderId="80" xfId="0" applyFont="1" applyFill="1" applyBorder="1" applyAlignment="1">
      <alignment horizontal="center"/>
    </xf>
    <xf numFmtId="0" fontId="4" fillId="0" borderId="0" xfId="0" applyFont="1" applyAlignment="1">
      <alignment horizontal="center" vertical="top" wrapText="1"/>
    </xf>
    <xf numFmtId="0" fontId="0" fillId="9" borderId="27" xfId="0" applyFill="1" applyBorder="1" applyAlignment="1">
      <alignment horizontal="left"/>
    </xf>
    <xf numFmtId="0" fontId="0" fillId="9" borderId="28" xfId="0" applyFill="1" applyBorder="1" applyAlignment="1">
      <alignment horizontal="left"/>
    </xf>
    <xf numFmtId="0" fontId="0" fillId="9" borderId="29" xfId="0" applyFill="1" applyBorder="1" applyAlignment="1">
      <alignment horizontal="left"/>
    </xf>
    <xf numFmtId="0" fontId="0" fillId="0" borderId="51" xfId="0" applyBorder="1" applyAlignment="1">
      <alignment horizontal="right"/>
    </xf>
    <xf numFmtId="0" fontId="0" fillId="0" borderId="0" xfId="0" applyAlignment="1">
      <alignment horizontal="right"/>
    </xf>
    <xf numFmtId="0" fontId="0" fillId="0" borderId="49" xfId="0" applyBorder="1" applyAlignment="1">
      <alignment horizontal="right"/>
    </xf>
    <xf numFmtId="0" fontId="0" fillId="0" borderId="48" xfId="0" applyBorder="1" applyAlignment="1">
      <alignment horizontal="right"/>
    </xf>
    <xf numFmtId="0" fontId="0" fillId="0" borderId="0" xfId="0" applyAlignment="1">
      <alignment horizontal="left"/>
    </xf>
    <xf numFmtId="0" fontId="0" fillId="0" borderId="30" xfId="0" applyBorder="1" applyAlignment="1">
      <alignment horizontal="left"/>
    </xf>
    <xf numFmtId="0" fontId="0" fillId="0" borderId="117" xfId="0" applyBorder="1" applyAlignment="1">
      <alignment horizontal="center"/>
    </xf>
    <xf numFmtId="0" fontId="0" fillId="0" borderId="184" xfId="0" applyBorder="1" applyAlignment="1">
      <alignment horizontal="center"/>
    </xf>
    <xf numFmtId="2" fontId="3" fillId="8" borderId="79" xfId="0" applyNumberFormat="1" applyFont="1" applyFill="1" applyBorder="1" applyAlignment="1">
      <alignment horizontal="center" vertical="center"/>
    </xf>
    <xf numFmtId="2" fontId="3" fillId="8" borderId="80" xfId="0" applyNumberFormat="1" applyFont="1" applyFill="1" applyBorder="1" applyAlignment="1">
      <alignment horizontal="center" vertical="center"/>
    </xf>
    <xf numFmtId="4" fontId="0" fillId="5" borderId="79" xfId="0" applyNumberFormat="1" applyFill="1" applyBorder="1" applyAlignment="1" applyProtection="1">
      <alignment horizontal="center"/>
      <protection locked="0"/>
    </xf>
    <xf numFmtId="4" fontId="0" fillId="5" borderId="80" xfId="0" applyNumberFormat="1" applyFill="1" applyBorder="1" applyAlignment="1" applyProtection="1">
      <alignment horizontal="center"/>
      <protection locked="0"/>
    </xf>
    <xf numFmtId="0" fontId="0" fillId="0" borderId="143" xfId="0" applyBorder="1" applyAlignment="1">
      <alignment horizontal="center" vertical="center"/>
    </xf>
    <xf numFmtId="0" fontId="9" fillId="0" borderId="51" xfId="0" applyFont="1" applyBorder="1" applyAlignment="1">
      <alignment horizontal="left" vertical="center"/>
    </xf>
    <xf numFmtId="0" fontId="9" fillId="0" borderId="0" xfId="0" applyFont="1" applyAlignment="1">
      <alignment horizontal="left" vertical="center"/>
    </xf>
    <xf numFmtId="0" fontId="9" fillId="0" borderId="23" xfId="0" applyFont="1" applyBorder="1" applyAlignment="1">
      <alignment horizontal="left" vertical="center"/>
    </xf>
    <xf numFmtId="0" fontId="0" fillId="5" borderId="120" xfId="0" applyFill="1" applyBorder="1" applyAlignment="1" applyProtection="1">
      <alignment horizontal="center" vertical="center"/>
      <protection locked="0"/>
    </xf>
    <xf numFmtId="0" fontId="0" fillId="5" borderId="175" xfId="0" applyFill="1" applyBorder="1" applyAlignment="1" applyProtection="1">
      <alignment horizontal="center" vertical="center"/>
      <protection locked="0"/>
    </xf>
    <xf numFmtId="0" fontId="0" fillId="0" borderId="120" xfId="0" applyBorder="1" applyAlignment="1">
      <alignment horizontal="center" vertical="center"/>
    </xf>
    <xf numFmtId="0" fontId="0" fillId="5" borderId="79" xfId="0" applyFill="1" applyBorder="1" applyAlignment="1" applyProtection="1">
      <alignment horizontal="center" vertical="center"/>
      <protection locked="0"/>
    </xf>
    <xf numFmtId="0" fontId="0" fillId="5" borderId="81" xfId="0" applyFill="1" applyBorder="1" applyAlignment="1" applyProtection="1">
      <alignment horizontal="center" vertical="center"/>
      <protection locked="0"/>
    </xf>
    <xf numFmtId="0" fontId="0" fillId="0" borderId="30" xfId="0" applyBorder="1" applyAlignment="1">
      <alignment horizontal="right"/>
    </xf>
    <xf numFmtId="0" fontId="0" fillId="0" borderId="143" xfId="0" applyBorder="1" applyAlignment="1">
      <alignment horizontal="center"/>
    </xf>
    <xf numFmtId="0" fontId="0" fillId="5" borderId="80" xfId="0" applyFill="1" applyBorder="1" applyAlignment="1" applyProtection="1">
      <alignment horizontal="center" vertical="center"/>
      <protection locked="0"/>
    </xf>
    <xf numFmtId="0" fontId="0" fillId="2" borderId="79" xfId="0" applyFill="1" applyBorder="1" applyAlignment="1">
      <alignment horizontal="center" vertical="center"/>
    </xf>
    <xf numFmtId="0" fontId="0" fillId="2" borderId="84" xfId="0" applyFill="1" applyBorder="1" applyAlignment="1">
      <alignment horizontal="center" vertical="center"/>
    </xf>
    <xf numFmtId="0" fontId="0" fillId="2" borderId="80" xfId="0" applyFill="1" applyBorder="1" applyAlignment="1">
      <alignment horizontal="center" vertical="center"/>
    </xf>
    <xf numFmtId="0" fontId="0" fillId="0" borderId="79" xfId="0" applyBorder="1" applyAlignment="1">
      <alignment horizontal="center"/>
    </xf>
    <xf numFmtId="0" fontId="0" fillId="0" borderId="80" xfId="0" applyBorder="1" applyAlignment="1">
      <alignment horizontal="center"/>
    </xf>
    <xf numFmtId="0" fontId="0" fillId="9" borderId="79" xfId="0" applyFill="1" applyBorder="1" applyAlignment="1">
      <alignment horizontal="left"/>
    </xf>
    <xf numFmtId="0" fontId="0" fillId="9" borderId="84" xfId="0" applyFill="1" applyBorder="1" applyAlignment="1">
      <alignment horizontal="left"/>
    </xf>
    <xf numFmtId="0" fontId="0" fillId="9" borderId="80" xfId="0" applyFill="1" applyBorder="1" applyAlignment="1">
      <alignment horizontal="left"/>
    </xf>
    <xf numFmtId="0" fontId="0" fillId="0" borderId="79" xfId="0" applyBorder="1" applyAlignment="1">
      <alignment horizontal="center" vertical="center"/>
    </xf>
    <xf numFmtId="0" fontId="0" fillId="0" borderId="84" xfId="0" applyBorder="1" applyAlignment="1">
      <alignment horizontal="center" vertical="center"/>
    </xf>
    <xf numFmtId="0" fontId="0" fillId="0" borderId="80" xfId="0" applyBorder="1" applyAlignment="1">
      <alignment horizontal="center" vertical="center"/>
    </xf>
    <xf numFmtId="0" fontId="0" fillId="0" borderId="66" xfId="0" applyBorder="1" applyAlignment="1">
      <alignment horizontal="center" vertical="center"/>
    </xf>
    <xf numFmtId="0" fontId="3" fillId="0" borderId="182" xfId="0" applyFont="1" applyBorder="1" applyAlignment="1">
      <alignment horizontal="center" vertical="center"/>
    </xf>
    <xf numFmtId="0" fontId="3" fillId="0" borderId="180" xfId="0" applyFont="1" applyBorder="1" applyAlignment="1">
      <alignment horizontal="center" vertical="center"/>
    </xf>
    <xf numFmtId="0" fontId="3" fillId="0" borderId="181" xfId="0" applyFont="1" applyBorder="1" applyAlignment="1">
      <alignment horizontal="center" vertical="center"/>
    </xf>
    <xf numFmtId="0" fontId="3" fillId="0" borderId="140" xfId="0" applyFont="1" applyBorder="1" applyAlignment="1">
      <alignment horizontal="center" vertical="center"/>
    </xf>
    <xf numFmtId="0" fontId="3" fillId="0" borderId="141" xfId="0" applyFont="1" applyBorder="1" applyAlignment="1">
      <alignment horizontal="center" vertical="center"/>
    </xf>
    <xf numFmtId="0" fontId="3" fillId="0" borderId="183" xfId="0" applyFont="1" applyBorder="1" applyAlignment="1">
      <alignment horizontal="center" vertical="center"/>
    </xf>
    <xf numFmtId="0" fontId="0" fillId="0" borderId="110" xfId="0" applyBorder="1" applyAlignment="1">
      <alignment horizontal="left"/>
    </xf>
    <xf numFmtId="0" fontId="0" fillId="0" borderId="189" xfId="0" applyBorder="1" applyAlignment="1">
      <alignment horizontal="left"/>
    </xf>
    <xf numFmtId="2" fontId="0" fillId="9" borderId="185" xfId="0" applyNumberFormat="1" applyFill="1" applyBorder="1" applyAlignment="1">
      <alignment horizontal="center" vertical="center"/>
    </xf>
    <xf numFmtId="2" fontId="0" fillId="9" borderId="186" xfId="0" applyNumberFormat="1" applyFill="1" applyBorder="1" applyAlignment="1">
      <alignment horizontal="center" vertical="center"/>
    </xf>
    <xf numFmtId="2" fontId="0" fillId="9" borderId="188" xfId="0" applyNumberFormat="1" applyFill="1" applyBorder="1" applyAlignment="1">
      <alignment horizontal="center" vertical="center"/>
    </xf>
    <xf numFmtId="2" fontId="0" fillId="9" borderId="141" xfId="0" applyNumberFormat="1" applyFill="1" applyBorder="1" applyAlignment="1">
      <alignment horizontal="center" vertical="center"/>
    </xf>
    <xf numFmtId="0" fontId="0" fillId="0" borderId="77" xfId="0" applyBorder="1" applyAlignment="1">
      <alignment horizontal="right"/>
    </xf>
    <xf numFmtId="175" fontId="0" fillId="9" borderId="78" xfId="0" applyNumberFormat="1" applyFill="1" applyBorder="1" applyAlignment="1">
      <alignment horizontal="center"/>
    </xf>
    <xf numFmtId="0" fontId="0" fillId="5" borderId="78" xfId="0" applyFill="1" applyBorder="1" applyAlignment="1" applyProtection="1">
      <alignment horizontal="center"/>
      <protection locked="0"/>
    </xf>
    <xf numFmtId="2" fontId="0" fillId="9" borderId="78" xfId="0" applyNumberFormat="1" applyFill="1" applyBorder="1" applyAlignment="1">
      <alignment horizontal="center"/>
    </xf>
    <xf numFmtId="174" fontId="0" fillId="5" borderId="78" xfId="0" applyNumberFormat="1" applyFill="1" applyBorder="1" applyAlignment="1" applyProtection="1">
      <alignment horizontal="center"/>
      <protection locked="0"/>
    </xf>
    <xf numFmtId="0" fontId="0" fillId="9" borderId="78" xfId="0" applyFill="1" applyBorder="1" applyAlignment="1">
      <alignment horizontal="center"/>
    </xf>
    <xf numFmtId="174" fontId="0" fillId="9" borderId="78" xfId="0" applyNumberFormat="1" applyFill="1" applyBorder="1" applyAlignment="1">
      <alignment horizontal="center"/>
    </xf>
    <xf numFmtId="175" fontId="0" fillId="9" borderId="143" xfId="0" applyNumberFormat="1" applyFill="1" applyBorder="1" applyAlignment="1">
      <alignment horizontal="center"/>
    </xf>
    <xf numFmtId="0" fontId="6" fillId="0" borderId="88" xfId="0" applyFont="1" applyBorder="1" applyAlignment="1">
      <alignment horizontal="center"/>
    </xf>
    <xf numFmtId="0" fontId="0" fillId="0" borderId="18" xfId="0" applyBorder="1" applyAlignment="1">
      <alignment horizontal="center" vertical="center"/>
    </xf>
    <xf numFmtId="2" fontId="0" fillId="9" borderId="79" xfId="0" applyNumberFormat="1" applyFill="1" applyBorder="1" applyAlignment="1">
      <alignment horizontal="center"/>
    </xf>
    <xf numFmtId="0" fontId="42" fillId="0" borderId="0" xfId="0" applyFont="1" applyAlignment="1">
      <alignment horizontal="center"/>
    </xf>
    <xf numFmtId="169" fontId="0" fillId="9" borderId="79" xfId="0" applyNumberFormat="1" applyFill="1" applyBorder="1" applyAlignment="1">
      <alignment horizontal="center"/>
    </xf>
    <xf numFmtId="169" fontId="0" fillId="9" borderId="80" xfId="0" applyNumberFormat="1" applyFill="1" applyBorder="1" applyAlignment="1">
      <alignment horizontal="center"/>
    </xf>
    <xf numFmtId="10" fontId="0" fillId="9" borderId="78" xfId="0" applyNumberFormat="1" applyFill="1" applyBorder="1" applyAlignment="1">
      <alignment horizontal="center"/>
    </xf>
    <xf numFmtId="0" fontId="0" fillId="9" borderId="27" xfId="0" applyFill="1" applyBorder="1" applyAlignment="1">
      <alignment horizontal="center"/>
    </xf>
    <xf numFmtId="0" fontId="0" fillId="9" borderId="29" xfId="0" applyFill="1" applyBorder="1" applyAlignment="1">
      <alignment horizontal="center"/>
    </xf>
    <xf numFmtId="0" fontId="0" fillId="5" borderId="31" xfId="0" applyFill="1" applyBorder="1" applyAlignment="1" applyProtection="1">
      <alignment horizontal="center"/>
      <protection locked="0"/>
    </xf>
    <xf numFmtId="0" fontId="0" fillId="5" borderId="33" xfId="0" applyFill="1" applyBorder="1" applyAlignment="1" applyProtection="1">
      <alignment horizontal="center"/>
      <protection locked="0"/>
    </xf>
    <xf numFmtId="176" fontId="0" fillId="5" borderId="79" xfId="0" applyNumberFormat="1" applyFill="1" applyBorder="1" applyAlignment="1" applyProtection="1">
      <alignment horizontal="center"/>
      <protection locked="0"/>
    </xf>
    <xf numFmtId="176" fontId="0" fillId="5" borderId="80" xfId="0" applyNumberFormat="1" applyFill="1" applyBorder="1" applyAlignment="1" applyProtection="1">
      <alignment horizontal="center"/>
      <protection locked="0"/>
    </xf>
    <xf numFmtId="2" fontId="0" fillId="5" borderId="79" xfId="0" applyNumberFormat="1" applyFill="1" applyBorder="1" applyAlignment="1" applyProtection="1">
      <alignment horizontal="center"/>
      <protection locked="0"/>
    </xf>
    <xf numFmtId="2" fontId="0" fillId="5" borderId="80" xfId="0" applyNumberFormat="1" applyFill="1" applyBorder="1" applyAlignment="1" applyProtection="1">
      <alignment horizontal="center"/>
      <protection locked="0"/>
    </xf>
    <xf numFmtId="0" fontId="0" fillId="9" borderId="84" xfId="0" applyFill="1" applyBorder="1" applyAlignment="1">
      <alignment horizontal="center"/>
    </xf>
    <xf numFmtId="0" fontId="0" fillId="0" borderId="43" xfId="0" applyBorder="1" applyAlignment="1">
      <alignment horizontal="left" vertical="top" wrapText="1"/>
    </xf>
    <xf numFmtId="0" fontId="0" fillId="0" borderId="45" xfId="0" applyBorder="1" applyAlignment="1">
      <alignment horizontal="left" vertical="top" wrapText="1"/>
    </xf>
    <xf numFmtId="176" fontId="0" fillId="9" borderId="27" xfId="0" applyNumberFormat="1" applyFill="1" applyBorder="1" applyAlignment="1">
      <alignment horizontal="center"/>
    </xf>
    <xf numFmtId="176" fontId="0" fillId="9" borderId="29" xfId="0" applyNumberFormat="1" applyFill="1" applyBorder="1" applyAlignment="1">
      <alignment horizontal="center"/>
    </xf>
    <xf numFmtId="0" fontId="4" fillId="0" borderId="0" xfId="0" quotePrefix="1" applyFont="1" applyAlignment="1">
      <alignment horizontal="left" vertical="top" wrapText="1"/>
    </xf>
    <xf numFmtId="0" fontId="0" fillId="5" borderId="27" xfId="0" applyFill="1" applyBorder="1" applyAlignment="1" applyProtection="1">
      <alignment horizontal="center"/>
      <protection locked="0"/>
    </xf>
    <xf numFmtId="0" fontId="0" fillId="5" borderId="29" xfId="0" applyFill="1" applyBorder="1" applyAlignment="1" applyProtection="1">
      <alignment horizontal="center"/>
      <protection locked="0"/>
    </xf>
    <xf numFmtId="10" fontId="0" fillId="9" borderId="79" xfId="0" applyNumberFormat="1" applyFill="1" applyBorder="1" applyAlignment="1">
      <alignment horizontal="center"/>
    </xf>
    <xf numFmtId="10" fontId="0" fillId="9" borderId="80" xfId="0" applyNumberFormat="1" applyFill="1" applyBorder="1" applyAlignment="1">
      <alignment horizontal="center"/>
    </xf>
    <xf numFmtId="0" fontId="0" fillId="5" borderId="28" xfId="0" applyFill="1" applyBorder="1" applyAlignment="1" applyProtection="1">
      <alignment horizontal="left" vertical="top" wrapText="1"/>
      <protection locked="0"/>
    </xf>
    <xf numFmtId="0" fontId="0" fillId="5" borderId="29" xfId="0" applyFill="1" applyBorder="1" applyAlignment="1" applyProtection="1">
      <alignment horizontal="left" vertical="top" wrapText="1"/>
      <protection locked="0"/>
    </xf>
    <xf numFmtId="0" fontId="0" fillId="5" borderId="18" xfId="0"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30" xfId="0" applyFill="1" applyBorder="1" applyAlignment="1" applyProtection="1">
      <alignment horizontal="left" vertical="top" wrapText="1"/>
      <protection locked="0"/>
    </xf>
    <xf numFmtId="0" fontId="0" fillId="5" borderId="31" xfId="0" applyFill="1" applyBorder="1" applyAlignment="1" applyProtection="1">
      <alignment horizontal="left" vertical="top" wrapText="1"/>
      <protection locked="0"/>
    </xf>
    <xf numFmtId="0" fontId="0" fillId="5" borderId="32" xfId="0" applyFill="1" applyBorder="1" applyAlignment="1" applyProtection="1">
      <alignment horizontal="left" vertical="top" wrapText="1"/>
      <protection locked="0"/>
    </xf>
    <xf numFmtId="0" fontId="0" fillId="5" borderId="33" xfId="0" applyFill="1" applyBorder="1" applyAlignment="1" applyProtection="1">
      <alignment horizontal="left" vertical="top" wrapText="1"/>
      <protection locked="0"/>
    </xf>
    <xf numFmtId="0" fontId="0" fillId="5" borderId="79" xfId="0" applyFill="1" applyBorder="1" applyAlignment="1" applyProtection="1">
      <alignment horizontal="left" vertical="center"/>
      <protection locked="0"/>
    </xf>
    <xf numFmtId="0" fontId="0" fillId="5" borderId="84" xfId="0" applyFill="1" applyBorder="1" applyAlignment="1" applyProtection="1">
      <alignment horizontal="left" vertical="center"/>
      <protection locked="0"/>
    </xf>
    <xf numFmtId="0" fontId="0" fillId="5" borderId="80" xfId="0" applyFill="1" applyBorder="1" applyAlignment="1" applyProtection="1">
      <alignment horizontal="left" vertical="center"/>
      <protection locked="0"/>
    </xf>
    <xf numFmtId="4" fontId="3" fillId="0" borderId="0" xfId="0" applyNumberFormat="1" applyFont="1" applyAlignment="1">
      <alignment horizontal="center"/>
    </xf>
    <xf numFmtId="14" fontId="0" fillId="0" borderId="79" xfId="0" applyNumberFormat="1" applyBorder="1" applyAlignment="1" applyProtection="1">
      <alignment horizontal="center" vertical="center"/>
      <protection locked="0"/>
    </xf>
    <xf numFmtId="14" fontId="0" fillId="0" borderId="80" xfId="0" applyNumberFormat="1" applyBorder="1" applyAlignment="1" applyProtection="1">
      <alignment horizontal="center" vertical="center"/>
      <protection locked="0"/>
    </xf>
    <xf numFmtId="0" fontId="23" fillId="0" borderId="0" xfId="0" applyFont="1" applyAlignment="1">
      <alignment horizontal="center" vertical="center"/>
    </xf>
    <xf numFmtId="14" fontId="0" fillId="0" borderId="143" xfId="0" applyNumberFormat="1" applyBorder="1" applyAlignment="1" applyProtection="1">
      <alignment horizontal="center" vertical="center"/>
      <protection locked="0"/>
    </xf>
    <xf numFmtId="2" fontId="3" fillId="0" borderId="0" xfId="0" applyNumberFormat="1" applyFont="1" applyAlignment="1">
      <alignment horizontal="center"/>
    </xf>
    <xf numFmtId="4" fontId="3" fillId="0" borderId="79" xfId="0" applyNumberFormat="1" applyFont="1" applyBorder="1" applyAlignment="1">
      <alignment horizontal="center"/>
    </xf>
    <xf numFmtId="4" fontId="3" fillId="0" borderId="80" xfId="0" applyNumberFormat="1" applyFont="1" applyBorder="1" applyAlignment="1">
      <alignment horizontal="center"/>
    </xf>
    <xf numFmtId="0" fontId="3" fillId="0" borderId="0" xfId="0" applyFont="1" applyAlignment="1">
      <alignment horizontal="left" vertical="center" wrapText="1"/>
    </xf>
    <xf numFmtId="0" fontId="3" fillId="0" borderId="0" xfId="0" applyFont="1" applyAlignment="1">
      <alignment horizontal="left" vertical="center"/>
    </xf>
    <xf numFmtId="0" fontId="9" fillId="0" borderId="0" xfId="0" applyFont="1" applyAlignment="1" applyProtection="1">
      <alignment horizontal="center" vertical="center" wrapText="1"/>
      <protection hidden="1"/>
    </xf>
    <xf numFmtId="0" fontId="9" fillId="0" borderId="14" xfId="0" applyFont="1" applyBorder="1" applyAlignment="1" applyProtection="1">
      <alignment horizontal="center" vertical="center" wrapText="1"/>
      <protection hidden="1"/>
    </xf>
    <xf numFmtId="0" fontId="9" fillId="0" borderId="16" xfId="0" applyFont="1" applyBorder="1" applyAlignment="1" applyProtection="1">
      <alignment horizontal="center" vertical="center" wrapText="1"/>
      <protection hidden="1"/>
    </xf>
    <xf numFmtId="0" fontId="9" fillId="0" borderId="17" xfId="0" applyFont="1" applyBorder="1" applyAlignment="1" applyProtection="1">
      <alignment horizontal="center" vertical="center" wrapText="1"/>
      <protection hidden="1"/>
    </xf>
    <xf numFmtId="4" fontId="0" fillId="0" borderId="2" xfId="0" applyNumberFormat="1" applyBorder="1" applyAlignment="1">
      <alignment horizontal="center"/>
    </xf>
    <xf numFmtId="4" fontId="0" fillId="0" borderId="3" xfId="0" applyNumberFormat="1" applyBorder="1" applyAlignment="1">
      <alignment horizontal="center"/>
    </xf>
    <xf numFmtId="4" fontId="22" fillId="11" borderId="79" xfId="0" applyNumberFormat="1" applyFont="1" applyFill="1" applyBorder="1" applyAlignment="1">
      <alignment horizontal="center"/>
    </xf>
    <xf numFmtId="4" fontId="22" fillId="11" borderId="80" xfId="0" applyNumberFormat="1" applyFont="1" applyFill="1" applyBorder="1" applyAlignment="1">
      <alignment horizontal="center"/>
    </xf>
    <xf numFmtId="0" fontId="3" fillId="0" borderId="20" xfId="0" applyFont="1" applyBorder="1" applyAlignment="1">
      <alignment horizontal="center"/>
    </xf>
    <xf numFmtId="2" fontId="22" fillId="11" borderId="79" xfId="0" applyNumberFormat="1" applyFont="1" applyFill="1" applyBorder="1" applyAlignment="1">
      <alignment horizontal="center"/>
    </xf>
    <xf numFmtId="2" fontId="22" fillId="11" borderId="80" xfId="0" applyNumberFormat="1" applyFont="1" applyFill="1" applyBorder="1" applyAlignment="1">
      <alignment horizontal="center"/>
    </xf>
    <xf numFmtId="2" fontId="22" fillId="0" borderId="79" xfId="0" applyNumberFormat="1" applyFont="1" applyBorder="1" applyAlignment="1">
      <alignment horizontal="center"/>
    </xf>
    <xf numFmtId="2" fontId="22" fillId="0" borderId="80" xfId="0" applyNumberFormat="1" applyFont="1" applyBorder="1" applyAlignment="1">
      <alignment horizontal="center"/>
    </xf>
    <xf numFmtId="2" fontId="0" fillId="0" borderId="79" xfId="0" applyNumberFormat="1" applyBorder="1" applyAlignment="1">
      <alignment horizontal="center"/>
    </xf>
    <xf numFmtId="2" fontId="0" fillId="0" borderId="80" xfId="0" applyNumberFormat="1" applyBorder="1" applyAlignment="1">
      <alignment horizontal="center"/>
    </xf>
    <xf numFmtId="0" fontId="3" fillId="0" borderId="73" xfId="0" applyFont="1" applyBorder="1" applyAlignment="1">
      <alignment horizontal="center"/>
    </xf>
    <xf numFmtId="2" fontId="0" fillId="0" borderId="2" xfId="0" applyNumberFormat="1" applyBorder="1" applyAlignment="1">
      <alignment horizontal="center"/>
    </xf>
    <xf numFmtId="2" fontId="0" fillId="0" borderId="3" xfId="0" applyNumberFormat="1" applyBorder="1" applyAlignment="1">
      <alignment horizontal="center"/>
    </xf>
    <xf numFmtId="2" fontId="22" fillId="0" borderId="2" xfId="0" applyNumberFormat="1" applyFont="1" applyBorder="1" applyAlignment="1">
      <alignment horizontal="center"/>
    </xf>
    <xf numFmtId="2" fontId="22" fillId="0" borderId="3" xfId="0" applyNumberFormat="1" applyFont="1" applyBorder="1" applyAlignment="1">
      <alignment horizontal="center"/>
    </xf>
    <xf numFmtId="1" fontId="0" fillId="0" borderId="28" xfId="0" applyNumberFormat="1" applyBorder="1" applyAlignment="1">
      <alignment horizontal="center"/>
    </xf>
    <xf numFmtId="1" fontId="0" fillId="0" borderId="0" xfId="0" applyNumberFormat="1" applyAlignment="1">
      <alignment horizontal="center"/>
    </xf>
    <xf numFmtId="2" fontId="22" fillId="11" borderId="79" xfId="0" quotePrefix="1" applyNumberFormat="1" applyFont="1" applyFill="1" applyBorder="1" applyAlignment="1">
      <alignment horizontal="center"/>
    </xf>
    <xf numFmtId="0" fontId="1" fillId="2" borderId="0" xfId="0" applyFont="1" applyFill="1" applyAlignment="1">
      <alignment horizontal="center"/>
    </xf>
    <xf numFmtId="0" fontId="0" fillId="0" borderId="109" xfId="0" applyBorder="1" applyAlignment="1">
      <alignment horizontal="center"/>
    </xf>
    <xf numFmtId="0" fontId="0" fillId="0" borderId="110" xfId="0" applyBorder="1" applyAlignment="1">
      <alignment horizontal="center"/>
    </xf>
    <xf numFmtId="0" fontId="0" fillId="0" borderId="111" xfId="0" applyBorder="1" applyAlignment="1">
      <alignment horizontal="center"/>
    </xf>
    <xf numFmtId="0" fontId="1" fillId="2" borderId="0" xfId="0" applyFont="1" applyFill="1" applyAlignment="1">
      <alignment horizontal="center" vertical="center" textRotation="180"/>
    </xf>
    <xf numFmtId="0" fontId="1" fillId="2" borderId="0" xfId="0" applyFont="1" applyFill="1" applyAlignment="1">
      <alignment horizontal="center" vertical="center" textRotation="180" wrapText="1"/>
    </xf>
    <xf numFmtId="0" fontId="45" fillId="0" borderId="143" xfId="0" applyFont="1" applyBorder="1" applyAlignment="1">
      <alignment horizontal="center" vertical="center" wrapText="1"/>
    </xf>
    <xf numFmtId="0" fontId="18" fillId="0" borderId="27" xfId="0" applyFont="1" applyBorder="1" applyAlignment="1">
      <alignment horizontal="center"/>
    </xf>
    <xf numFmtId="0" fontId="18" fillId="0" borderId="28" xfId="0" applyFont="1" applyBorder="1" applyAlignment="1">
      <alignment horizontal="center"/>
    </xf>
    <xf numFmtId="0" fontId="18" fillId="0" borderId="29" xfId="0" applyFont="1" applyBorder="1" applyAlignment="1">
      <alignment horizontal="center"/>
    </xf>
    <xf numFmtId="0" fontId="18" fillId="0" borderId="18" xfId="0" applyFont="1" applyBorder="1" applyAlignment="1">
      <alignment horizontal="center"/>
    </xf>
    <xf numFmtId="0" fontId="18" fillId="0" borderId="0" xfId="0" applyFont="1" applyAlignment="1">
      <alignment horizontal="center"/>
    </xf>
    <xf numFmtId="0" fontId="18" fillId="0" borderId="30" xfId="0" applyFont="1" applyBorder="1" applyAlignment="1">
      <alignment horizontal="center"/>
    </xf>
    <xf numFmtId="0" fontId="18" fillId="0" borderId="31" xfId="0" applyFont="1" applyBorder="1" applyAlignment="1">
      <alignment horizontal="center"/>
    </xf>
    <xf numFmtId="0" fontId="18" fillId="0" borderId="32" xfId="0" applyFont="1" applyBorder="1" applyAlignment="1">
      <alignment horizontal="center"/>
    </xf>
    <xf numFmtId="0" fontId="18" fillId="0" borderId="33" xfId="0" applyFont="1" applyBorder="1" applyAlignment="1">
      <alignment horizontal="center"/>
    </xf>
    <xf numFmtId="0" fontId="4" fillId="0" borderId="0" xfId="0" applyFont="1" applyAlignment="1">
      <alignment horizontal="left" vertical="center" wrapText="1"/>
    </xf>
    <xf numFmtId="0" fontId="0" fillId="0" borderId="143" xfId="0" applyBorder="1" applyAlignment="1">
      <alignment horizontal="left" vertical="top" wrapText="1"/>
    </xf>
    <xf numFmtId="0" fontId="0" fillId="0" borderId="27" xfId="0" applyBorder="1" applyAlignment="1">
      <alignment horizontal="left" vertical="top" wrapText="1"/>
    </xf>
    <xf numFmtId="0" fontId="0" fillId="0" borderId="28" xfId="0" applyBorder="1" applyAlignment="1">
      <alignment horizontal="left" vertical="top" wrapText="1"/>
    </xf>
    <xf numFmtId="0" fontId="0" fillId="0" borderId="29" xfId="0" applyBorder="1" applyAlignment="1">
      <alignment horizontal="left" vertical="top" wrapText="1"/>
    </xf>
    <xf numFmtId="0" fontId="0" fillId="0" borderId="18" xfId="0" applyBorder="1" applyAlignment="1">
      <alignment horizontal="left" vertical="top" wrapText="1"/>
    </xf>
    <xf numFmtId="0" fontId="0" fillId="0" borderId="0" xfId="0" applyBorder="1" applyAlignment="1">
      <alignment horizontal="left" vertical="top" wrapText="1"/>
    </xf>
    <xf numFmtId="0" fontId="0" fillId="0" borderId="30" xfId="0" applyBorder="1" applyAlignment="1">
      <alignment horizontal="left" vertical="top" wrapText="1"/>
    </xf>
    <xf numFmtId="0" fontId="0" fillId="0" borderId="31" xfId="0" applyBorder="1" applyAlignment="1">
      <alignment horizontal="left" vertical="top" wrapText="1"/>
    </xf>
    <xf numFmtId="0" fontId="0" fillId="0" borderId="32" xfId="0" applyBorder="1" applyAlignment="1">
      <alignment horizontal="left" vertical="top" wrapText="1"/>
    </xf>
    <xf numFmtId="0" fontId="0" fillId="0" borderId="33" xfId="0" applyBorder="1" applyAlignment="1">
      <alignment horizontal="left" vertical="top" wrapText="1"/>
    </xf>
    <xf numFmtId="0" fontId="3" fillId="5" borderId="123" xfId="0" applyFont="1" applyFill="1" applyBorder="1" applyAlignment="1">
      <alignment horizontal="center"/>
    </xf>
    <xf numFmtId="0" fontId="3" fillId="5" borderId="105" xfId="0" applyFont="1" applyFill="1" applyBorder="1" applyAlignment="1">
      <alignment horizontal="center"/>
    </xf>
    <xf numFmtId="0" fontId="3" fillId="5" borderId="120" xfId="0" applyFont="1" applyFill="1" applyBorder="1" applyAlignment="1">
      <alignment horizontal="center"/>
    </xf>
    <xf numFmtId="0" fontId="3" fillId="15" borderId="119" xfId="0" applyFont="1" applyFill="1" applyBorder="1" applyAlignment="1">
      <alignment horizontal="center"/>
    </xf>
    <xf numFmtId="0" fontId="3" fillId="15" borderId="105" xfId="0" applyFont="1" applyFill="1" applyBorder="1" applyAlignment="1">
      <alignment horizontal="center"/>
    </xf>
    <xf numFmtId="0" fontId="3" fillId="15" borderId="124" xfId="0" applyFont="1" applyFill="1" applyBorder="1" applyAlignment="1">
      <alignment horizontal="center"/>
    </xf>
    <xf numFmtId="0" fontId="31" fillId="0" borderId="109" xfId="0" applyFont="1" applyBorder="1" applyAlignment="1">
      <alignment horizontal="center"/>
    </xf>
    <xf numFmtId="0" fontId="31" fillId="0" borderId="110" xfId="0" applyFont="1" applyBorder="1" applyAlignment="1">
      <alignment horizontal="center"/>
    </xf>
    <xf numFmtId="0" fontId="31" fillId="0" borderId="111" xfId="0" applyFont="1" applyBorder="1" applyAlignment="1">
      <alignment horizontal="center"/>
    </xf>
    <xf numFmtId="0" fontId="32" fillId="0" borderId="109" xfId="0" applyFont="1" applyBorder="1" applyAlignment="1">
      <alignment horizontal="center"/>
    </xf>
    <xf numFmtId="0" fontId="32" fillId="0" borderId="110" xfId="0" applyFont="1" applyBorder="1" applyAlignment="1">
      <alignment horizontal="center"/>
    </xf>
    <xf numFmtId="0" fontId="32" fillId="0" borderId="111" xfId="0" applyFont="1" applyBorder="1" applyAlignment="1">
      <alignment horizontal="center"/>
    </xf>
    <xf numFmtId="0" fontId="33" fillId="17" borderId="123" xfId="0" applyFont="1" applyFill="1" applyBorder="1" applyAlignment="1">
      <alignment horizontal="center"/>
    </xf>
    <xf numFmtId="0" fontId="33" fillId="17" borderId="105" xfId="0" applyFont="1" applyFill="1" applyBorder="1" applyAlignment="1">
      <alignment horizontal="center"/>
    </xf>
    <xf numFmtId="0" fontId="33" fillId="17" borderId="120" xfId="0" applyFont="1" applyFill="1" applyBorder="1" applyAlignment="1">
      <alignment horizontal="center"/>
    </xf>
    <xf numFmtId="0" fontId="33" fillId="10" borderId="119" xfId="0" applyFont="1" applyFill="1" applyBorder="1" applyAlignment="1">
      <alignment horizontal="center"/>
    </xf>
    <xf numFmtId="0" fontId="33" fillId="10" borderId="105" xfId="0" applyFont="1" applyFill="1" applyBorder="1" applyAlignment="1">
      <alignment horizontal="center"/>
    </xf>
    <xf numFmtId="0" fontId="33" fillId="10" borderId="124" xfId="0" applyFont="1" applyFill="1" applyBorder="1" applyAlignment="1">
      <alignment horizontal="center"/>
    </xf>
    <xf numFmtId="0" fontId="0" fillId="0" borderId="79" xfId="0" applyBorder="1" applyAlignment="1">
      <alignment horizontal="left" vertical="top" wrapText="1"/>
    </xf>
    <xf numFmtId="0" fontId="0" fillId="0" borderId="84" xfId="0" applyBorder="1" applyAlignment="1">
      <alignment horizontal="left" vertical="top" wrapText="1"/>
    </xf>
    <xf numFmtId="0" fontId="0" fillId="0" borderId="80" xfId="0" applyBorder="1" applyAlignment="1">
      <alignment horizontal="left" vertical="top" wrapText="1"/>
    </xf>
    <xf numFmtId="0" fontId="32" fillId="0" borderId="129" xfId="0" applyFont="1" applyBorder="1" applyAlignment="1">
      <alignment horizontal="center"/>
    </xf>
    <xf numFmtId="0" fontId="32" fillId="0" borderId="130" xfId="0" applyFont="1" applyBorder="1" applyAlignment="1">
      <alignment horizontal="center"/>
    </xf>
    <xf numFmtId="0" fontId="32" fillId="0" borderId="131" xfId="0" applyFont="1" applyBorder="1" applyAlignment="1">
      <alignment horizontal="center"/>
    </xf>
    <xf numFmtId="0" fontId="33" fillId="18" borderId="53" xfId="0" applyFont="1" applyFill="1" applyBorder="1" applyAlignment="1">
      <alignment horizontal="center" vertical="center"/>
    </xf>
    <xf numFmtId="0" fontId="33" fillId="18" borderId="49" xfId="0" applyFont="1" applyFill="1" applyBorder="1" applyAlignment="1">
      <alignment horizontal="center" vertical="center"/>
    </xf>
    <xf numFmtId="0" fontId="33" fillId="18" borderId="70" xfId="0" applyFont="1" applyFill="1" applyBorder="1" applyAlignment="1">
      <alignment horizontal="center" vertical="center"/>
    </xf>
    <xf numFmtId="0" fontId="33" fillId="18" borderId="48" xfId="0" applyFont="1" applyFill="1" applyBorder="1" applyAlignment="1">
      <alignment horizontal="center" vertical="center"/>
    </xf>
    <xf numFmtId="0" fontId="33" fillId="18" borderId="70" xfId="0" applyFont="1" applyFill="1" applyBorder="1" applyAlignment="1">
      <alignment horizontal="center" vertical="center" wrapText="1"/>
    </xf>
    <xf numFmtId="0" fontId="33" fillId="18" borderId="48" xfId="0" applyFont="1" applyFill="1" applyBorder="1" applyAlignment="1">
      <alignment horizontal="center" vertical="center" wrapText="1"/>
    </xf>
    <xf numFmtId="0" fontId="33" fillId="18" borderId="70" xfId="0" applyFont="1" applyFill="1" applyBorder="1" applyAlignment="1">
      <alignment horizontal="center" wrapText="1"/>
    </xf>
    <xf numFmtId="0" fontId="33" fillId="18" borderId="54" xfId="0" applyFont="1" applyFill="1" applyBorder="1" applyAlignment="1">
      <alignment horizontal="center" wrapText="1"/>
    </xf>
    <xf numFmtId="0" fontId="35" fillId="21" borderId="70" xfId="0" applyFont="1" applyFill="1" applyBorder="1" applyAlignment="1">
      <alignment horizontal="center" wrapText="1"/>
    </xf>
    <xf numFmtId="0" fontId="35" fillId="21" borderId="54" xfId="0" applyFont="1" applyFill="1" applyBorder="1" applyAlignment="1">
      <alignment horizontal="center" wrapText="1"/>
    </xf>
    <xf numFmtId="0" fontId="31" fillId="0" borderId="129" xfId="0" applyFont="1" applyBorder="1" applyAlignment="1">
      <alignment horizontal="center"/>
    </xf>
    <xf numFmtId="0" fontId="31" fillId="0" borderId="130" xfId="0" applyFont="1" applyBorder="1" applyAlignment="1">
      <alignment horizontal="center"/>
    </xf>
    <xf numFmtId="0" fontId="31" fillId="0" borderId="131" xfId="0" applyFont="1" applyBorder="1" applyAlignment="1">
      <alignment horizontal="center"/>
    </xf>
    <xf numFmtId="0" fontId="35" fillId="21" borderId="70" xfId="0" applyFont="1" applyFill="1" applyBorder="1" applyAlignment="1">
      <alignment horizontal="center" vertical="center" wrapText="1"/>
    </xf>
    <xf numFmtId="0" fontId="35" fillId="21" borderId="48" xfId="0" applyFont="1" applyFill="1" applyBorder="1" applyAlignment="1">
      <alignment horizontal="center" vertical="center" wrapText="1"/>
    </xf>
    <xf numFmtId="0" fontId="35" fillId="21" borderId="70" xfId="0" applyFont="1" applyFill="1" applyBorder="1" applyAlignment="1">
      <alignment horizontal="center" vertical="center"/>
    </xf>
    <xf numFmtId="0" fontId="35" fillId="21" borderId="48" xfId="0" applyFont="1" applyFill="1" applyBorder="1" applyAlignment="1">
      <alignment horizontal="center" vertical="center"/>
    </xf>
    <xf numFmtId="0" fontId="35" fillId="21" borderId="53" xfId="0" applyFont="1" applyFill="1" applyBorder="1" applyAlignment="1">
      <alignment horizontal="center" vertical="center"/>
    </xf>
    <xf numFmtId="0" fontId="35" fillId="21" borderId="49" xfId="0" applyFont="1" applyFill="1" applyBorder="1" applyAlignment="1">
      <alignment horizontal="center" vertical="center"/>
    </xf>
    <xf numFmtId="0" fontId="0" fillId="23" borderId="70" xfId="0" applyFill="1" applyBorder="1" applyAlignment="1">
      <alignment horizontal="center" vertical="center"/>
    </xf>
    <xf numFmtId="0" fontId="0" fillId="23" borderId="133" xfId="0" applyFill="1" applyBorder="1" applyAlignment="1">
      <alignment horizontal="center" vertical="center"/>
    </xf>
    <xf numFmtId="0" fontId="16" fillId="26" borderId="70" xfId="0" applyFont="1" applyFill="1" applyBorder="1" applyAlignment="1">
      <alignment horizontal="center" vertical="center"/>
    </xf>
    <xf numFmtId="0" fontId="16" fillId="26" borderId="133" xfId="0" applyFont="1" applyFill="1" applyBorder="1" applyAlignment="1">
      <alignment horizontal="center" vertical="center"/>
    </xf>
    <xf numFmtId="0" fontId="31" fillId="0" borderId="109" xfId="0" applyFont="1" applyBorder="1" applyAlignment="1">
      <alignment horizontal="center" vertical="center"/>
    </xf>
    <xf numFmtId="0" fontId="31" fillId="0" borderId="110" xfId="0" applyFont="1" applyBorder="1" applyAlignment="1">
      <alignment horizontal="center" vertical="center"/>
    </xf>
    <xf numFmtId="0" fontId="31" fillId="0" borderId="111" xfId="0" applyFont="1" applyBorder="1" applyAlignment="1">
      <alignment horizontal="center" vertical="center"/>
    </xf>
    <xf numFmtId="0" fontId="32" fillId="0" borderId="109" xfId="0" applyFont="1" applyBorder="1" applyAlignment="1">
      <alignment horizontal="center" vertical="center"/>
    </xf>
    <xf numFmtId="0" fontId="32" fillId="0" borderId="110" xfId="0" applyFont="1" applyBorder="1" applyAlignment="1">
      <alignment horizontal="center" vertical="center"/>
    </xf>
    <xf numFmtId="0" fontId="32" fillId="0" borderId="111" xfId="0" applyFont="1" applyBorder="1" applyAlignment="1">
      <alignment horizontal="center" vertical="center"/>
    </xf>
    <xf numFmtId="0" fontId="16" fillId="26" borderId="132" xfId="0" applyFont="1" applyFill="1" applyBorder="1" applyAlignment="1">
      <alignment horizontal="center" vertical="center" wrapText="1"/>
    </xf>
    <xf numFmtId="0" fontId="16" fillId="26" borderId="114" xfId="0" applyFont="1" applyFill="1" applyBorder="1" applyAlignment="1">
      <alignment horizontal="center" vertical="center" wrapText="1"/>
    </xf>
    <xf numFmtId="0" fontId="16" fillId="26" borderId="0" xfId="0" applyFont="1" applyFill="1" applyAlignment="1">
      <alignment horizontal="center" vertical="center"/>
    </xf>
    <xf numFmtId="0" fontId="0" fillId="23" borderId="132" xfId="0" applyFill="1" applyBorder="1" applyAlignment="1">
      <alignment horizontal="center" vertical="center" wrapText="1"/>
    </xf>
    <xf numFmtId="0" fontId="0" fillId="23" borderId="114" xfId="0" applyFill="1" applyBorder="1" applyAlignment="1">
      <alignment horizontal="center" vertical="center" wrapText="1"/>
    </xf>
    <xf numFmtId="0" fontId="0" fillId="23" borderId="0" xfId="0" applyFill="1" applyAlignment="1">
      <alignment horizontal="center" vertical="center"/>
    </xf>
    <xf numFmtId="0" fontId="6" fillId="0" borderId="27" xfId="0" applyFont="1" applyBorder="1" applyAlignment="1">
      <alignment horizontal="left" vertical="top" wrapText="1"/>
    </xf>
    <xf numFmtId="0" fontId="6" fillId="0" borderId="28" xfId="0" applyFont="1" applyBorder="1" applyAlignment="1">
      <alignment horizontal="left" vertical="top" wrapText="1"/>
    </xf>
    <xf numFmtId="0" fontId="6" fillId="0" borderId="29" xfId="0" applyFont="1" applyBorder="1" applyAlignment="1">
      <alignment horizontal="left" vertical="top" wrapText="1"/>
    </xf>
    <xf numFmtId="0" fontId="6" fillId="0" borderId="31" xfId="0" applyFont="1" applyBorder="1" applyAlignment="1">
      <alignment horizontal="left" vertical="top" wrapText="1"/>
    </xf>
    <xf numFmtId="0" fontId="6" fillId="0" borderId="32" xfId="0" applyFont="1" applyBorder="1" applyAlignment="1">
      <alignment horizontal="left" vertical="top" wrapText="1"/>
    </xf>
    <xf numFmtId="0" fontId="6" fillId="0" borderId="33" xfId="0" applyFont="1" applyBorder="1" applyAlignment="1">
      <alignment horizontal="left" vertical="top" wrapText="1"/>
    </xf>
    <xf numFmtId="0" fontId="0" fillId="0" borderId="0" xfId="0" applyAlignment="1">
      <alignment horizontal="left" vertical="top" wrapText="1"/>
    </xf>
    <xf numFmtId="0" fontId="26" fillId="0" borderId="27" xfId="0" applyFont="1" applyBorder="1" applyAlignment="1">
      <alignment horizontal="left" vertical="top" wrapText="1"/>
    </xf>
    <xf numFmtId="0" fontId="26" fillId="0" borderId="28" xfId="0" applyFont="1" applyBorder="1" applyAlignment="1">
      <alignment horizontal="left" vertical="top" wrapText="1"/>
    </xf>
    <xf numFmtId="0" fontId="26" fillId="0" borderId="29" xfId="0" applyFont="1" applyBorder="1" applyAlignment="1">
      <alignment horizontal="left" vertical="top" wrapText="1"/>
    </xf>
    <xf numFmtId="0" fontId="26" fillId="0" borderId="18" xfId="0" applyFont="1" applyBorder="1" applyAlignment="1">
      <alignment horizontal="left" vertical="top" wrapText="1"/>
    </xf>
    <xf numFmtId="0" fontId="26" fillId="0" borderId="0" xfId="0" applyFont="1" applyAlignment="1">
      <alignment horizontal="left" vertical="top" wrapText="1"/>
    </xf>
    <xf numFmtId="0" fontId="26" fillId="0" borderId="30" xfId="0" applyFont="1" applyBorder="1" applyAlignment="1">
      <alignment horizontal="left" vertical="top" wrapText="1"/>
    </xf>
    <xf numFmtId="0" fontId="26" fillId="0" borderId="31" xfId="0" applyFont="1" applyBorder="1" applyAlignment="1">
      <alignment horizontal="left" vertical="top" wrapText="1"/>
    </xf>
    <xf numFmtId="0" fontId="26" fillId="0" borderId="32" xfId="0" applyFont="1" applyBorder="1" applyAlignment="1">
      <alignment horizontal="left" vertical="top" wrapText="1"/>
    </xf>
    <xf numFmtId="0" fontId="26" fillId="0" borderId="33" xfId="0" applyFont="1" applyBorder="1" applyAlignment="1">
      <alignment horizontal="left" vertical="top" wrapText="1"/>
    </xf>
    <xf numFmtId="0" fontId="6" fillId="0" borderId="0" xfId="0" applyFont="1" applyAlignment="1">
      <alignment horizontal="center" wrapText="1"/>
    </xf>
    <xf numFmtId="0" fontId="58" fillId="12" borderId="0" xfId="0" applyFont="1" applyFill="1" applyAlignment="1">
      <alignment horizontal="center" vertical="center"/>
    </xf>
    <xf numFmtId="0" fontId="58" fillId="40" borderId="0" xfId="0" applyFont="1" applyFill="1" applyAlignment="1">
      <alignment horizontal="center" vertical="center"/>
    </xf>
    <xf numFmtId="0" fontId="57" fillId="41" borderId="0" xfId="0" applyFont="1" applyFill="1" applyAlignment="1">
      <alignment horizontal="center" vertical="center" wrapText="1"/>
    </xf>
    <xf numFmtId="0" fontId="57" fillId="37" borderId="0" xfId="0" applyFont="1" applyFill="1" applyAlignment="1">
      <alignment horizontal="center"/>
    </xf>
    <xf numFmtId="0" fontId="57" fillId="28" borderId="0" xfId="0" applyFont="1" applyFill="1" applyAlignment="1">
      <alignment horizontal="center"/>
    </xf>
    <xf numFmtId="0" fontId="57" fillId="13" borderId="0" xfId="0" applyFont="1" applyFill="1" applyAlignment="1">
      <alignment horizontal="center"/>
    </xf>
    <xf numFmtId="0" fontId="58" fillId="2" borderId="0" xfId="0" applyFont="1" applyFill="1" applyAlignment="1">
      <alignment horizontal="center" vertical="center"/>
    </xf>
    <xf numFmtId="0" fontId="58" fillId="16" borderId="0" xfId="0" applyFont="1" applyFill="1" applyAlignment="1">
      <alignment horizontal="center" vertical="center"/>
    </xf>
    <xf numFmtId="0" fontId="57" fillId="31" borderId="0" xfId="0" applyFont="1" applyFill="1" applyAlignment="1">
      <alignment horizontal="center"/>
    </xf>
    <xf numFmtId="0" fontId="57" fillId="35" borderId="0" xfId="0" applyFont="1" applyFill="1" applyAlignment="1">
      <alignment horizontal="center"/>
    </xf>
    <xf numFmtId="0" fontId="58" fillId="34" borderId="0" xfId="0" applyFont="1" applyFill="1" applyAlignment="1">
      <alignment horizontal="center" vertical="center"/>
    </xf>
    <xf numFmtId="0" fontId="57" fillId="5" borderId="0" xfId="0" applyFont="1" applyFill="1" applyAlignment="1">
      <alignment horizontal="center"/>
    </xf>
    <xf numFmtId="0" fontId="57" fillId="15" borderId="0" xfId="0" applyFont="1" applyFill="1" applyAlignment="1">
      <alignment horizontal="center"/>
    </xf>
    <xf numFmtId="0" fontId="57" fillId="14" borderId="0" xfId="0" applyFont="1" applyFill="1" applyAlignment="1">
      <alignment horizontal="center"/>
    </xf>
    <xf numFmtId="0" fontId="57" fillId="7" borderId="0" xfId="0" applyFont="1" applyFill="1" applyAlignment="1">
      <alignment horizontal="center"/>
    </xf>
    <xf numFmtId="0" fontId="57" fillId="21" borderId="0" xfId="0" applyFont="1" applyFill="1" applyAlignment="1">
      <alignment horizontal="center"/>
    </xf>
    <xf numFmtId="0" fontId="58" fillId="18" borderId="0" xfId="0" applyFont="1" applyFill="1" applyAlignment="1">
      <alignment horizontal="center" vertical="center"/>
    </xf>
    <xf numFmtId="0" fontId="57" fillId="0" borderId="0" xfId="0" applyFont="1" applyAlignment="1">
      <alignment horizontal="center" vertical="center" wrapText="1"/>
    </xf>
  </cellXfs>
  <cellStyles count="12">
    <cellStyle name="Comma 2" xfId="7" xr:uid="{00000000-0005-0000-0000-000000000000}"/>
    <cellStyle name="Heading" xfId="5" xr:uid="{00000000-0005-0000-0000-000001000000}"/>
    <cellStyle name="Heading1" xfId="6" xr:uid="{00000000-0005-0000-0000-000002000000}"/>
    <cellStyle name="Lien hypertexte" xfId="3" builtinId="8"/>
    <cellStyle name="Normal" xfId="0" builtinId="0"/>
    <cellStyle name="Normal 2" xfId="1" xr:uid="{00000000-0005-0000-0000-000005000000}"/>
    <cellStyle name="Normal 3" xfId="4" xr:uid="{00000000-0005-0000-0000-000006000000}"/>
    <cellStyle name="Normal 4" xfId="11" xr:uid="{00000000-0005-0000-0000-000007000000}"/>
    <cellStyle name="Percent 2" xfId="8" xr:uid="{00000000-0005-0000-0000-000008000000}"/>
    <cellStyle name="Pourcentage" xfId="2" builtinId="5"/>
    <cellStyle name="Result" xfId="9" xr:uid="{00000000-0005-0000-0000-00000A000000}"/>
    <cellStyle name="Result2" xfId="10" xr:uid="{00000000-0005-0000-0000-00000B000000}"/>
  </cellStyles>
  <dxfs count="62">
    <dxf>
      <font>
        <color rgb="FF9C0006"/>
      </font>
      <fill>
        <patternFill>
          <bgColor rgb="FFFFC7CE"/>
        </patternFill>
      </fill>
    </dxf>
    <dxf>
      <numFmt numFmtId="171" formatCode=";;;"/>
      <fill>
        <patternFill patternType="lightUp"/>
      </fill>
    </dxf>
    <dxf>
      <numFmt numFmtId="171" formatCode=";;;"/>
      <fill>
        <patternFill patternType="lightUp"/>
      </fill>
    </dxf>
    <dxf>
      <font>
        <b/>
        <i val="0"/>
        <color theme="7" tint="-0.499984740745262"/>
      </font>
      <fill>
        <patternFill>
          <bgColor theme="7" tint="0.79998168889431442"/>
        </patternFill>
      </fill>
    </dxf>
    <dxf>
      <font>
        <b/>
        <i val="0"/>
        <color rgb="FF800000"/>
      </font>
      <fill>
        <patternFill>
          <bgColor rgb="FFFFCCCC"/>
        </patternFill>
      </fill>
    </dxf>
    <dxf>
      <font>
        <b/>
        <i val="0"/>
        <color rgb="FF800000"/>
      </font>
      <fill>
        <patternFill>
          <bgColor rgb="FFFFCCCC"/>
        </patternFill>
      </fill>
    </dxf>
    <dxf>
      <font>
        <b/>
        <i val="0"/>
        <color theme="9" tint="-0.499984740745262"/>
      </font>
      <fill>
        <patternFill>
          <bgColor theme="9" tint="0.39994506668294322"/>
        </patternFill>
      </fill>
      <border>
        <left style="thin">
          <color theme="9" tint="-0.499984740745262"/>
        </left>
        <right style="thin">
          <color theme="9" tint="-0.499984740745262"/>
        </right>
        <top style="thin">
          <color theme="9" tint="-0.499984740745262"/>
        </top>
        <bottom style="thin">
          <color theme="9" tint="-0.499984740745262"/>
        </bottom>
      </border>
    </dxf>
    <dxf>
      <font>
        <b/>
        <i val="0"/>
        <color rgb="FF800000"/>
      </font>
      <fill>
        <patternFill>
          <bgColor rgb="FFFFCCCC"/>
        </patternFill>
      </fill>
      <border>
        <left style="thin">
          <color rgb="FF800000"/>
        </left>
        <right style="thin">
          <color rgb="FF800000"/>
        </right>
        <top style="thin">
          <color rgb="FF800000"/>
        </top>
        <bottom style="thin">
          <color rgb="FF800000"/>
        </bottom>
      </border>
    </dxf>
    <dxf>
      <font>
        <b/>
        <i val="0"/>
        <color rgb="FFFF0000"/>
      </font>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border>
        <left style="thin">
          <color auto="1"/>
        </left>
        <right style="thin">
          <color auto="1"/>
        </right>
        <top style="thin">
          <color auto="1"/>
        </top>
        <bottom style="thin">
          <color auto="1"/>
        </bottom>
        <vertical/>
        <horizontal/>
      </border>
    </dxf>
    <dxf>
      <font>
        <b/>
        <i val="0"/>
        <color rgb="FF800000"/>
      </font>
      <fill>
        <patternFill>
          <bgColor rgb="FFFFCCCC"/>
        </patternFill>
      </fill>
    </dxf>
    <dxf>
      <numFmt numFmtId="171" formatCode=";;;"/>
      <fill>
        <patternFill patternType="lightUp"/>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numFmt numFmtId="171" formatCode=";;;"/>
      <fill>
        <patternFill patternType="lightUp"/>
      </fill>
    </dxf>
    <dxf>
      <numFmt numFmtId="171" formatCode=";;;"/>
      <fill>
        <patternFill patternType="lightUp"/>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color theme="0"/>
      </font>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ill>
        <patternFill patternType="lightUp">
          <bgColor theme="7" tint="0.79998168889431442"/>
        </patternFill>
      </fill>
    </dxf>
    <dxf>
      <font>
        <b/>
        <i val="0"/>
        <color rgb="FF800000"/>
      </font>
      <fill>
        <patternFill>
          <bgColor rgb="FFFFCCCC"/>
        </patternFill>
      </fill>
    </dxf>
    <dxf>
      <font>
        <b/>
        <i val="0"/>
        <color theme="9" tint="-0.499984740745262"/>
      </font>
      <fill>
        <patternFill>
          <bgColor theme="9" tint="0.59996337778862885"/>
        </patternFill>
      </fill>
    </dxf>
    <dxf>
      <font>
        <b/>
        <i val="0"/>
        <color rgb="FF800000"/>
      </font>
      <fill>
        <patternFill>
          <bgColor rgb="FFFFCCCC"/>
        </patternFill>
      </fill>
    </dxf>
    <dxf>
      <font>
        <b/>
        <i val="0"/>
        <color theme="9" tint="-0.499984740745262"/>
      </font>
      <fill>
        <patternFill>
          <bgColor theme="9" tint="0.59996337778862885"/>
        </patternFill>
      </fill>
    </dxf>
    <dxf>
      <font>
        <b/>
        <i val="0"/>
        <color rgb="FF800000"/>
      </font>
      <fill>
        <patternFill>
          <bgColor rgb="FFFFCCCC"/>
        </patternFill>
      </fill>
    </dxf>
    <dxf>
      <font>
        <b/>
        <i val="0"/>
        <color theme="5"/>
      </font>
    </dxf>
    <dxf>
      <font>
        <b/>
        <i val="0"/>
        <color theme="5"/>
      </font>
    </dxf>
    <dxf>
      <font>
        <b/>
        <i val="0"/>
        <color rgb="FFFF0000"/>
      </font>
    </dxf>
  </dxfs>
  <tableStyles count="0" defaultTableStyle="TableStyleMedium2" defaultPivotStyle="PivotStyleLight16"/>
  <colors>
    <mruColors>
      <color rgb="FFFF3300"/>
      <color rgb="FFD6882A"/>
      <color rgb="FFD8A2F6"/>
      <color rgb="FFFFCCCC"/>
      <color rgb="FF800000"/>
      <color rgb="FFFF5050"/>
      <color rgb="FFCC0000"/>
      <color rgb="FFFF7C80"/>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2.svg"/><Relationship Id="rId3" Type="http://schemas.openxmlformats.org/officeDocument/2006/relationships/hyperlink" Target="#Irrigation!A6"/><Relationship Id="rId7" Type="http://schemas.openxmlformats.org/officeDocument/2006/relationships/image" Target="../media/image1.png"/><Relationship Id="rId12" Type="http://schemas.openxmlformats.org/officeDocument/2006/relationships/image" Target="../media/image5.png"/><Relationship Id="rId2" Type="http://schemas.openxmlformats.org/officeDocument/2006/relationships/hyperlink" Target="#Fertilisation!A6"/><Relationship Id="rId1" Type="http://schemas.openxmlformats.org/officeDocument/2006/relationships/hyperlink" Target="#Phyto!A6"/><Relationship Id="rId6" Type="http://schemas.openxmlformats.org/officeDocument/2006/relationships/hyperlink" Target="#Identification!A1"/><Relationship Id="rId11" Type="http://schemas.openxmlformats.org/officeDocument/2006/relationships/image" Target="../media/image4.svg"/><Relationship Id="rId5" Type="http://schemas.openxmlformats.org/officeDocument/2006/relationships/hyperlink" Target="#Biodiversit&#233;!A6"/><Relationship Id="rId10" Type="http://schemas.openxmlformats.org/officeDocument/2006/relationships/image" Target="../media/image3.png"/><Relationship Id="rId4" Type="http://schemas.openxmlformats.org/officeDocument/2006/relationships/hyperlink" Target="#SYNTHESE!A1"/><Relationship Id="rId9" Type="http://schemas.openxmlformats.org/officeDocument/2006/relationships/hyperlink" Target="#Surfaces!A1"/></Relationships>
</file>

<file path=xl/drawings/_rels/drawing2.xml.rels><?xml version="1.0" encoding="UTF-8" standalone="yes"?>
<Relationships xmlns="http://schemas.openxmlformats.org/package/2006/relationships"><Relationship Id="rId3" Type="http://schemas.openxmlformats.org/officeDocument/2006/relationships/hyperlink" Target="#Identification!B7:B26"/><Relationship Id="rId7" Type="http://schemas.openxmlformats.org/officeDocument/2006/relationships/hyperlink" Target="#Identification!B102:B122"/><Relationship Id="rId2" Type="http://schemas.openxmlformats.org/officeDocument/2006/relationships/image" Target="../media/image6.png"/><Relationship Id="rId1" Type="http://schemas.openxmlformats.org/officeDocument/2006/relationships/hyperlink" Target="#Accueil!A1"/><Relationship Id="rId6" Type="http://schemas.openxmlformats.org/officeDocument/2006/relationships/hyperlink" Target="#Identification!B77:B101"/><Relationship Id="rId5" Type="http://schemas.openxmlformats.org/officeDocument/2006/relationships/hyperlink" Target="#Identification!B53:B75"/><Relationship Id="rId4" Type="http://schemas.openxmlformats.org/officeDocument/2006/relationships/hyperlink" Target="#Identification!B29:B51"/></Relationships>
</file>

<file path=xl/drawings/_rels/drawing3.xml.rels><?xml version="1.0" encoding="UTF-8" standalone="yes"?>
<Relationships xmlns="http://schemas.openxmlformats.org/package/2006/relationships"><Relationship Id="rId3" Type="http://schemas.openxmlformats.org/officeDocument/2006/relationships/hyperlink" Target="#Surfaces!B169:B201"/><Relationship Id="rId2" Type="http://schemas.openxmlformats.org/officeDocument/2006/relationships/hyperlink" Target="#Surfaces!B75:B167"/><Relationship Id="rId1" Type="http://schemas.openxmlformats.org/officeDocument/2006/relationships/hyperlink" Target="#Surfaces!B18:B65"/><Relationship Id="rId6" Type="http://schemas.openxmlformats.org/officeDocument/2006/relationships/image" Target="../media/image7.png"/><Relationship Id="rId5" Type="http://schemas.openxmlformats.org/officeDocument/2006/relationships/hyperlink" Target="#Accueil!A1"/><Relationship Id="rId4" Type="http://schemas.openxmlformats.org/officeDocument/2006/relationships/hyperlink" Target="#Surfaces!B203:B228"/></Relationships>
</file>

<file path=xl/drawings/_rels/drawing4.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hyperlink" Target="#Accueil!A1"/></Relationships>
</file>

<file path=xl/drawings/_rels/drawing5.xml.rels><?xml version="1.0" encoding="UTF-8" standalone="yes"?>
<Relationships xmlns="http://schemas.openxmlformats.org/package/2006/relationships"><Relationship Id="rId8" Type="http://schemas.openxmlformats.org/officeDocument/2006/relationships/hyperlink" Target="#Biodiversit&#233;!B7:B74"/><Relationship Id="rId3" Type="http://schemas.openxmlformats.org/officeDocument/2006/relationships/hyperlink" Target="#Biodiversit&#233;!B191:B208"/><Relationship Id="rId7" Type="http://schemas.openxmlformats.org/officeDocument/2006/relationships/hyperlink" Target="#Biodiversit&#233;!B77:B94"/><Relationship Id="rId2" Type="http://schemas.openxmlformats.org/officeDocument/2006/relationships/hyperlink" Target="#Biodiversit&#233;!B210:B230"/><Relationship Id="rId1" Type="http://schemas.openxmlformats.org/officeDocument/2006/relationships/hyperlink" Target="#Biodiversit&#233;!B232:B251"/><Relationship Id="rId6" Type="http://schemas.openxmlformats.org/officeDocument/2006/relationships/hyperlink" Target="#Biodiversit&#233;!B96:B122"/><Relationship Id="rId11" Type="http://schemas.openxmlformats.org/officeDocument/2006/relationships/image" Target="../media/image7.png"/><Relationship Id="rId5" Type="http://schemas.openxmlformats.org/officeDocument/2006/relationships/hyperlink" Target="#Biodiversit&#233;!B124:B163"/><Relationship Id="rId10" Type="http://schemas.openxmlformats.org/officeDocument/2006/relationships/hyperlink" Target="#Accueil!A1"/><Relationship Id="rId4" Type="http://schemas.openxmlformats.org/officeDocument/2006/relationships/hyperlink" Target="#Biodiversit&#233;!B165:B189"/><Relationship Id="rId9" Type="http://schemas.openxmlformats.org/officeDocument/2006/relationships/hyperlink" Target="#Biodiversit&#233;!B253:B273"/></Relationships>
</file>

<file path=xl/drawings/_rels/drawing6.xml.rels><?xml version="1.0" encoding="UTF-8" standalone="yes"?>
<Relationships xmlns="http://schemas.openxmlformats.org/package/2006/relationships"><Relationship Id="rId8" Type="http://schemas.openxmlformats.org/officeDocument/2006/relationships/hyperlink" Target="#Phyto!B229:B252"/><Relationship Id="rId13" Type="http://schemas.openxmlformats.org/officeDocument/2006/relationships/image" Target="../media/image9.png"/><Relationship Id="rId3" Type="http://schemas.openxmlformats.org/officeDocument/2006/relationships/hyperlink" Target="#Phyto!B30:B55"/><Relationship Id="rId7" Type="http://schemas.openxmlformats.org/officeDocument/2006/relationships/hyperlink" Target="#Phyto!B194:B227"/><Relationship Id="rId12" Type="http://schemas.openxmlformats.org/officeDocument/2006/relationships/hyperlink" Target="#Accueil!A1"/><Relationship Id="rId2" Type="http://schemas.openxmlformats.org/officeDocument/2006/relationships/hyperlink" Target="#Phyto!B7:B28"/><Relationship Id="rId1" Type="http://schemas.openxmlformats.org/officeDocument/2006/relationships/hyperlink" Target="#Phyto!B329:B361"/><Relationship Id="rId6" Type="http://schemas.openxmlformats.org/officeDocument/2006/relationships/hyperlink" Target="#Phyto!B153:B192"/><Relationship Id="rId11" Type="http://schemas.openxmlformats.org/officeDocument/2006/relationships/hyperlink" Target="#Phyto!B363:B384"/><Relationship Id="rId5" Type="http://schemas.openxmlformats.org/officeDocument/2006/relationships/hyperlink" Target="#Phyto!B125:B151"/><Relationship Id="rId10" Type="http://schemas.openxmlformats.org/officeDocument/2006/relationships/hyperlink" Target="#Phyto!B295:B327"/><Relationship Id="rId4" Type="http://schemas.openxmlformats.org/officeDocument/2006/relationships/hyperlink" Target="#Phyto!B57:B122"/><Relationship Id="rId9" Type="http://schemas.openxmlformats.org/officeDocument/2006/relationships/hyperlink" Target="#Phyto!B254:B293"/></Relationships>
</file>

<file path=xl/drawings/_rels/drawing7.xml.rels><?xml version="1.0" encoding="UTF-8" standalone="yes"?>
<Relationships xmlns="http://schemas.openxmlformats.org/package/2006/relationships"><Relationship Id="rId8" Type="http://schemas.openxmlformats.org/officeDocument/2006/relationships/hyperlink" Target="#Fertilisation!B82:B110"/><Relationship Id="rId3" Type="http://schemas.openxmlformats.org/officeDocument/2006/relationships/hyperlink" Target="#Fertilisation!B317:B343"/><Relationship Id="rId7" Type="http://schemas.openxmlformats.org/officeDocument/2006/relationships/hyperlink" Target="#Fertilisation!B249:B291"/><Relationship Id="rId12" Type="http://schemas.openxmlformats.org/officeDocument/2006/relationships/hyperlink" Target="#Fertilisation!B345:B365"/><Relationship Id="rId2" Type="http://schemas.openxmlformats.org/officeDocument/2006/relationships/image" Target="../media/image10.png"/><Relationship Id="rId1" Type="http://schemas.openxmlformats.org/officeDocument/2006/relationships/hyperlink" Target="#Accueil!A1"/><Relationship Id="rId6" Type="http://schemas.openxmlformats.org/officeDocument/2006/relationships/hyperlink" Target="#Fertilisation!B223:B247"/><Relationship Id="rId11" Type="http://schemas.openxmlformats.org/officeDocument/2006/relationships/hyperlink" Target="#Fertilisation!B7:B80"/><Relationship Id="rId5" Type="http://schemas.openxmlformats.org/officeDocument/2006/relationships/hyperlink" Target="#Fertilisation!B199:B221"/><Relationship Id="rId10" Type="http://schemas.openxmlformats.org/officeDocument/2006/relationships/hyperlink" Target="#Fertilisation!B134:B197"/><Relationship Id="rId4" Type="http://schemas.openxmlformats.org/officeDocument/2006/relationships/hyperlink" Target="#Fertilisation!B293:B315"/><Relationship Id="rId9" Type="http://schemas.openxmlformats.org/officeDocument/2006/relationships/hyperlink" Target="#Fertilisation!B112:B132"/></Relationships>
</file>

<file path=xl/drawings/_rels/drawing8.xml.rels><?xml version="1.0" encoding="UTF-8" standalone="yes"?>
<Relationships xmlns="http://schemas.openxmlformats.org/package/2006/relationships"><Relationship Id="rId8" Type="http://schemas.openxmlformats.org/officeDocument/2006/relationships/hyperlink" Target="#Irrigation!B166:B195"/><Relationship Id="rId3" Type="http://schemas.openxmlformats.org/officeDocument/2006/relationships/hyperlink" Target="#Irrigation!B7:B67"/><Relationship Id="rId7" Type="http://schemas.openxmlformats.org/officeDocument/2006/relationships/hyperlink" Target="#Irrigation!B144:B164"/><Relationship Id="rId2" Type="http://schemas.openxmlformats.org/officeDocument/2006/relationships/image" Target="../media/image10.png"/><Relationship Id="rId1" Type="http://schemas.openxmlformats.org/officeDocument/2006/relationships/hyperlink" Target="#Accueil!A1"/><Relationship Id="rId6" Type="http://schemas.openxmlformats.org/officeDocument/2006/relationships/hyperlink" Target="#Irrigation!B129:B142"/><Relationship Id="rId11" Type="http://schemas.openxmlformats.org/officeDocument/2006/relationships/hyperlink" Target="#Irrigation!B248:B268"/><Relationship Id="rId5" Type="http://schemas.openxmlformats.org/officeDocument/2006/relationships/hyperlink" Target="#Irrigation!B105:B127"/><Relationship Id="rId10" Type="http://schemas.openxmlformats.org/officeDocument/2006/relationships/hyperlink" Target="#Irrigation!B226:B246"/><Relationship Id="rId4" Type="http://schemas.openxmlformats.org/officeDocument/2006/relationships/hyperlink" Target="#Irrigation!B69:B103"/><Relationship Id="rId9" Type="http://schemas.openxmlformats.org/officeDocument/2006/relationships/hyperlink" Target="#Irrigation!B197:B224"/></Relationships>
</file>

<file path=xl/drawings/_rels/drawing9.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hyperlink" Target="#Accueil!A1"/></Relationships>
</file>

<file path=xl/drawings/drawing1.xml><?xml version="1.0" encoding="utf-8"?>
<xdr:wsDr xmlns:xdr="http://schemas.openxmlformats.org/drawingml/2006/spreadsheetDrawing" xmlns:a="http://schemas.openxmlformats.org/drawingml/2006/main">
  <xdr:twoCellAnchor>
    <xdr:from>
      <xdr:col>6</xdr:col>
      <xdr:colOff>132850</xdr:colOff>
      <xdr:row>22</xdr:row>
      <xdr:rowOff>66675</xdr:rowOff>
    </xdr:from>
    <xdr:to>
      <xdr:col>8</xdr:col>
      <xdr:colOff>247150</xdr:colOff>
      <xdr:row>24</xdr:row>
      <xdr:rowOff>104775</xdr:rowOff>
    </xdr:to>
    <xdr:sp macro="" textlink="">
      <xdr:nvSpPr>
        <xdr:cNvPr id="18" name="Parallelogram 17">
          <a:hlinkClick xmlns:r="http://schemas.openxmlformats.org/officeDocument/2006/relationships" r:id="rId1"/>
          <a:extLst>
            <a:ext uri="{FF2B5EF4-FFF2-40B4-BE49-F238E27FC236}">
              <a16:creationId xmlns:a16="http://schemas.microsoft.com/office/drawing/2014/main" id="{00000000-0008-0000-0100-000012000000}"/>
            </a:ext>
          </a:extLst>
        </xdr:cNvPr>
        <xdr:cNvSpPr/>
      </xdr:nvSpPr>
      <xdr:spPr>
        <a:xfrm>
          <a:off x="3790450" y="4629150"/>
          <a:ext cx="1333500" cy="419100"/>
        </a:xfrm>
        <a:prstGeom prst="parallelogram">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PHYTO</a:t>
          </a:r>
        </a:p>
      </xdr:txBody>
    </xdr:sp>
    <xdr:clientData/>
  </xdr:twoCellAnchor>
  <xdr:twoCellAnchor>
    <xdr:from>
      <xdr:col>8</xdr:col>
      <xdr:colOff>343400</xdr:colOff>
      <xdr:row>22</xdr:row>
      <xdr:rowOff>66675</xdr:rowOff>
    </xdr:from>
    <xdr:to>
      <xdr:col>10</xdr:col>
      <xdr:colOff>456200</xdr:colOff>
      <xdr:row>24</xdr:row>
      <xdr:rowOff>104775</xdr:rowOff>
    </xdr:to>
    <xdr:sp macro="" textlink="">
      <xdr:nvSpPr>
        <xdr:cNvPr id="21" name="Parallelogram 20">
          <a:hlinkClick xmlns:r="http://schemas.openxmlformats.org/officeDocument/2006/relationships" r:id="rId2"/>
          <a:extLst>
            <a:ext uri="{FF2B5EF4-FFF2-40B4-BE49-F238E27FC236}">
              <a16:creationId xmlns:a16="http://schemas.microsoft.com/office/drawing/2014/main" id="{00000000-0008-0000-0100-000015000000}"/>
            </a:ext>
          </a:extLst>
        </xdr:cNvPr>
        <xdr:cNvSpPr/>
      </xdr:nvSpPr>
      <xdr:spPr>
        <a:xfrm>
          <a:off x="5220200" y="4629150"/>
          <a:ext cx="1332000" cy="419100"/>
        </a:xfrm>
        <a:prstGeom prst="parallelogram">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FERTILISATION</a:t>
          </a:r>
        </a:p>
      </xdr:txBody>
    </xdr:sp>
    <xdr:clientData/>
  </xdr:twoCellAnchor>
  <xdr:twoCellAnchor>
    <xdr:from>
      <xdr:col>10</xdr:col>
      <xdr:colOff>552450</xdr:colOff>
      <xdr:row>22</xdr:row>
      <xdr:rowOff>66675</xdr:rowOff>
    </xdr:from>
    <xdr:to>
      <xdr:col>13</xdr:col>
      <xdr:colOff>55650</xdr:colOff>
      <xdr:row>24</xdr:row>
      <xdr:rowOff>104775</xdr:rowOff>
    </xdr:to>
    <xdr:sp macro="" textlink="">
      <xdr:nvSpPr>
        <xdr:cNvPr id="24" name="Parallelogram 23">
          <a:hlinkClick xmlns:r="http://schemas.openxmlformats.org/officeDocument/2006/relationships" r:id="rId3"/>
          <a:extLst>
            <a:ext uri="{FF2B5EF4-FFF2-40B4-BE49-F238E27FC236}">
              <a16:creationId xmlns:a16="http://schemas.microsoft.com/office/drawing/2014/main" id="{00000000-0008-0000-0100-000018000000}"/>
            </a:ext>
          </a:extLst>
        </xdr:cNvPr>
        <xdr:cNvSpPr/>
      </xdr:nvSpPr>
      <xdr:spPr>
        <a:xfrm>
          <a:off x="6648450" y="4629150"/>
          <a:ext cx="1332000" cy="419100"/>
        </a:xfrm>
        <a:prstGeom prst="parallelogram">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IRRIGATION </a:t>
          </a:r>
        </a:p>
      </xdr:txBody>
    </xdr:sp>
    <xdr:clientData/>
  </xdr:twoCellAnchor>
  <xdr:twoCellAnchor>
    <xdr:from>
      <xdr:col>6</xdr:col>
      <xdr:colOff>371475</xdr:colOff>
      <xdr:row>31</xdr:row>
      <xdr:rowOff>95250</xdr:rowOff>
    </xdr:from>
    <xdr:to>
      <xdr:col>9</xdr:col>
      <xdr:colOff>485775</xdr:colOff>
      <xdr:row>33</xdr:row>
      <xdr:rowOff>133350</xdr:rowOff>
    </xdr:to>
    <xdr:sp macro="" textlink="">
      <xdr:nvSpPr>
        <xdr:cNvPr id="27" name="Parallelogram 26">
          <a:hlinkClick xmlns:r="http://schemas.openxmlformats.org/officeDocument/2006/relationships" r:id="rId4"/>
          <a:extLst>
            <a:ext uri="{FF2B5EF4-FFF2-40B4-BE49-F238E27FC236}">
              <a16:creationId xmlns:a16="http://schemas.microsoft.com/office/drawing/2014/main" id="{00000000-0008-0000-0100-00001B000000}"/>
            </a:ext>
          </a:extLst>
        </xdr:cNvPr>
        <xdr:cNvSpPr/>
      </xdr:nvSpPr>
      <xdr:spPr>
        <a:xfrm>
          <a:off x="4029075" y="4657725"/>
          <a:ext cx="1943100" cy="419100"/>
        </a:xfrm>
        <a:prstGeom prst="parallelogram">
          <a:avLst/>
        </a:prstGeom>
        <a:solidFill>
          <a:schemeClr val="accent6">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t>SYNTHÈSE</a:t>
          </a:r>
        </a:p>
      </xdr:txBody>
    </xdr:sp>
    <xdr:clientData/>
  </xdr:twoCellAnchor>
  <xdr:twoCellAnchor>
    <xdr:from>
      <xdr:col>3</xdr:col>
      <xdr:colOff>533400</xdr:colOff>
      <xdr:row>22</xdr:row>
      <xdr:rowOff>66675</xdr:rowOff>
    </xdr:from>
    <xdr:to>
      <xdr:col>6</xdr:col>
      <xdr:colOff>36600</xdr:colOff>
      <xdr:row>24</xdr:row>
      <xdr:rowOff>104775</xdr:rowOff>
    </xdr:to>
    <xdr:sp macro="" textlink="">
      <xdr:nvSpPr>
        <xdr:cNvPr id="13" name="Parallelogram 12">
          <a:hlinkClick xmlns:r="http://schemas.openxmlformats.org/officeDocument/2006/relationships" r:id="rId5"/>
          <a:extLst>
            <a:ext uri="{FF2B5EF4-FFF2-40B4-BE49-F238E27FC236}">
              <a16:creationId xmlns:a16="http://schemas.microsoft.com/office/drawing/2014/main" id="{00000000-0008-0000-0100-00000D000000}"/>
            </a:ext>
          </a:extLst>
        </xdr:cNvPr>
        <xdr:cNvSpPr/>
      </xdr:nvSpPr>
      <xdr:spPr>
        <a:xfrm>
          <a:off x="2362200" y="4629150"/>
          <a:ext cx="1332000" cy="419100"/>
        </a:xfrm>
        <a:prstGeom prst="parallelogram">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BIODIVERSITÉ </a:t>
          </a:r>
        </a:p>
      </xdr:txBody>
    </xdr:sp>
    <xdr:clientData/>
  </xdr:twoCellAnchor>
  <xdr:twoCellAnchor>
    <xdr:from>
      <xdr:col>3</xdr:col>
      <xdr:colOff>600076</xdr:colOff>
      <xdr:row>13</xdr:row>
      <xdr:rowOff>123825</xdr:rowOff>
    </xdr:from>
    <xdr:to>
      <xdr:col>7</xdr:col>
      <xdr:colOff>104776</xdr:colOff>
      <xdr:row>15</xdr:row>
      <xdr:rowOff>161925</xdr:rowOff>
    </xdr:to>
    <xdr:grpSp>
      <xdr:nvGrpSpPr>
        <xdr:cNvPr id="15" name="Group 14">
          <a:hlinkClick xmlns:r="http://schemas.openxmlformats.org/officeDocument/2006/relationships" r:id="rId6"/>
          <a:extLst>
            <a:ext uri="{FF2B5EF4-FFF2-40B4-BE49-F238E27FC236}">
              <a16:creationId xmlns:a16="http://schemas.microsoft.com/office/drawing/2014/main" id="{00000000-0008-0000-0100-00000F000000}"/>
            </a:ext>
          </a:extLst>
        </xdr:cNvPr>
        <xdr:cNvGrpSpPr/>
      </xdr:nvGrpSpPr>
      <xdr:grpSpPr>
        <a:xfrm>
          <a:off x="2484121" y="2668905"/>
          <a:ext cx="2019300" cy="400050"/>
          <a:chOff x="2428876" y="2781300"/>
          <a:chExt cx="1943100" cy="419100"/>
        </a:xfrm>
      </xdr:grpSpPr>
      <xdr:sp macro="" textlink="">
        <xdr:nvSpPr>
          <xdr:cNvPr id="3" name="Parallelogram 2">
            <a:extLst>
              <a:ext uri="{FF2B5EF4-FFF2-40B4-BE49-F238E27FC236}">
                <a16:creationId xmlns:a16="http://schemas.microsoft.com/office/drawing/2014/main" id="{00000000-0008-0000-0100-000003000000}"/>
              </a:ext>
            </a:extLst>
          </xdr:cNvPr>
          <xdr:cNvSpPr/>
        </xdr:nvSpPr>
        <xdr:spPr>
          <a:xfrm>
            <a:off x="2428876" y="2781300"/>
            <a:ext cx="1943100" cy="419100"/>
          </a:xfrm>
          <a:prstGeom prst="parallelogram">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fr-FR" sz="1100" b="1"/>
              <a:t>IDENTIFICATION</a:t>
            </a:r>
          </a:p>
        </xdr:txBody>
      </xdr:sp>
      <xdr:pic>
        <xdr:nvPicPr>
          <xdr:cNvPr id="6" name="Graphic 5" descr="Information with solid fill">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3895725" y="2847975"/>
            <a:ext cx="285750" cy="285750"/>
          </a:xfrm>
          <a:prstGeom prst="rect">
            <a:avLst/>
          </a:prstGeom>
        </xdr:spPr>
      </xdr:pic>
    </xdr:grpSp>
    <xdr:clientData/>
  </xdr:twoCellAnchor>
  <xdr:twoCellAnchor>
    <xdr:from>
      <xdr:col>9</xdr:col>
      <xdr:colOff>476250</xdr:colOff>
      <xdr:row>13</xdr:row>
      <xdr:rowOff>123825</xdr:rowOff>
    </xdr:from>
    <xdr:to>
      <xdr:col>12</xdr:col>
      <xdr:colOff>591450</xdr:colOff>
      <xdr:row>15</xdr:row>
      <xdr:rowOff>160425</xdr:rowOff>
    </xdr:to>
    <xdr:grpSp>
      <xdr:nvGrpSpPr>
        <xdr:cNvPr id="14" name="Group 13">
          <a:hlinkClick xmlns:r="http://schemas.openxmlformats.org/officeDocument/2006/relationships" r:id="rId9"/>
          <a:extLst>
            <a:ext uri="{FF2B5EF4-FFF2-40B4-BE49-F238E27FC236}">
              <a16:creationId xmlns:a16="http://schemas.microsoft.com/office/drawing/2014/main" id="{00000000-0008-0000-0100-00000E000000}"/>
            </a:ext>
          </a:extLst>
        </xdr:cNvPr>
        <xdr:cNvGrpSpPr/>
      </xdr:nvGrpSpPr>
      <xdr:grpSpPr>
        <a:xfrm>
          <a:off x="6130290" y="2668905"/>
          <a:ext cx="2001150" cy="398550"/>
          <a:chOff x="5962650" y="2781300"/>
          <a:chExt cx="1944000" cy="417600"/>
        </a:xfrm>
      </xdr:grpSpPr>
      <xdr:sp macro="" textlink="">
        <xdr:nvSpPr>
          <xdr:cNvPr id="9" name="Parallelogram 8">
            <a:extLst>
              <a:ext uri="{FF2B5EF4-FFF2-40B4-BE49-F238E27FC236}">
                <a16:creationId xmlns:a16="http://schemas.microsoft.com/office/drawing/2014/main" id="{00000000-0008-0000-0100-000009000000}"/>
              </a:ext>
            </a:extLst>
          </xdr:cNvPr>
          <xdr:cNvSpPr/>
        </xdr:nvSpPr>
        <xdr:spPr>
          <a:xfrm>
            <a:off x="5962650" y="2781300"/>
            <a:ext cx="1944000" cy="417600"/>
          </a:xfrm>
          <a:prstGeom prst="parallelogram">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fr-FR" sz="1100" b="1"/>
              <a:t>SURFACES</a:t>
            </a:r>
          </a:p>
        </xdr:txBody>
      </xdr:sp>
      <xdr:pic>
        <xdr:nvPicPr>
          <xdr:cNvPr id="12" name="Graphic 11" descr="Topography Map outline">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7258050" y="2838450"/>
            <a:ext cx="447675" cy="352425"/>
          </a:xfrm>
          <a:prstGeom prst="rect">
            <a:avLst/>
          </a:prstGeom>
        </xdr:spPr>
      </xdr:pic>
    </xdr:grpSp>
    <xdr:clientData/>
  </xdr:twoCellAnchor>
  <xdr:twoCellAnchor editAs="oneCell">
    <xdr:from>
      <xdr:col>1</xdr:col>
      <xdr:colOff>561976</xdr:colOff>
      <xdr:row>2</xdr:row>
      <xdr:rowOff>19051</xdr:rowOff>
    </xdr:from>
    <xdr:to>
      <xdr:col>4</xdr:col>
      <xdr:colOff>561976</xdr:colOff>
      <xdr:row>9</xdr:row>
      <xdr:rowOff>55142</xdr:rowOff>
    </xdr:to>
    <xdr:pic>
      <xdr:nvPicPr>
        <xdr:cNvPr id="5" name="Image 4">
          <a:extLst>
            <a:ext uri="{FF2B5EF4-FFF2-40B4-BE49-F238E27FC236}">
              <a16:creationId xmlns:a16="http://schemas.microsoft.com/office/drawing/2014/main" id="{77CA1C29-31FF-463E-A233-2861FB9FC49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xdr:blipFill>
      <xdr:spPr>
        <a:xfrm>
          <a:off x="1190626" y="381001"/>
          <a:ext cx="1885950" cy="13029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237213</xdr:colOff>
      <xdr:row>0</xdr:row>
      <xdr:rowOff>48410</xdr:rowOff>
    </xdr:from>
    <xdr:to>
      <xdr:col>2</xdr:col>
      <xdr:colOff>170455</xdr:colOff>
      <xdr:row>4</xdr:row>
      <xdr:rowOff>149386</xdr:rowOff>
    </xdr:to>
    <xdr:pic>
      <xdr:nvPicPr>
        <xdr:cNvPr id="62" name="Image 61">
          <a:hlinkClick xmlns:r="http://schemas.openxmlformats.org/officeDocument/2006/relationships" r:id="rId1"/>
          <a:extLst>
            <a:ext uri="{FF2B5EF4-FFF2-40B4-BE49-F238E27FC236}">
              <a16:creationId xmlns:a16="http://schemas.microsoft.com/office/drawing/2014/main" id="{00000000-0008-0000-0200-00003E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37213" y="48410"/>
          <a:ext cx="1190542" cy="824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314325</xdr:colOff>
      <xdr:row>6</xdr:row>
      <xdr:rowOff>38100</xdr:rowOff>
    </xdr:from>
    <xdr:to>
      <xdr:col>4</xdr:col>
      <xdr:colOff>495300</xdr:colOff>
      <xdr:row>7</xdr:row>
      <xdr:rowOff>144075</xdr:rowOff>
    </xdr:to>
    <xdr:sp macro="" textlink="">
      <xdr:nvSpPr>
        <xdr:cNvPr id="2" name="Parallelogram 1">
          <a:extLst>
            <a:ext uri="{FF2B5EF4-FFF2-40B4-BE49-F238E27FC236}">
              <a16:creationId xmlns:a16="http://schemas.microsoft.com/office/drawing/2014/main" id="{00000000-0008-0000-0200-000002000000}"/>
            </a:ext>
          </a:extLst>
        </xdr:cNvPr>
        <xdr:cNvSpPr/>
      </xdr:nvSpPr>
      <xdr:spPr>
        <a:xfrm>
          <a:off x="923925" y="1181100"/>
          <a:ext cx="2009775" cy="306000"/>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Contexte de l'audit</a:t>
          </a:r>
        </a:p>
      </xdr:txBody>
    </xdr:sp>
    <xdr:clientData/>
  </xdr:twoCellAnchor>
  <xdr:twoCellAnchor editAs="absolute">
    <xdr:from>
      <xdr:col>1</xdr:col>
      <xdr:colOff>416559</xdr:colOff>
      <xdr:row>8</xdr:row>
      <xdr:rowOff>152400</xdr:rowOff>
    </xdr:from>
    <xdr:to>
      <xdr:col>4</xdr:col>
      <xdr:colOff>231299</xdr:colOff>
      <xdr:row>10</xdr:row>
      <xdr:rowOff>78450</xdr:rowOff>
    </xdr:to>
    <xdr:sp macro="" textlink="">
      <xdr:nvSpPr>
        <xdr:cNvPr id="3" name="Rectangle: Rounded Corners 2">
          <a:extLst>
            <a:ext uri="{FF2B5EF4-FFF2-40B4-BE49-F238E27FC236}">
              <a16:creationId xmlns:a16="http://schemas.microsoft.com/office/drawing/2014/main" id="{00000000-0008-0000-0200-000003000000}"/>
            </a:ext>
          </a:extLst>
        </xdr:cNvPr>
        <xdr:cNvSpPr/>
      </xdr:nvSpPr>
      <xdr:spPr>
        <a:xfrm>
          <a:off x="1028699" y="1609725"/>
          <a:ext cx="1717200" cy="288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Date de l'audit</a:t>
          </a:r>
          <a:endParaRPr lang="fr-FR" sz="1100">
            <a:solidFill>
              <a:schemeClr val="bg1"/>
            </a:solidFill>
          </a:endParaRPr>
        </a:p>
      </xdr:txBody>
    </xdr:sp>
    <xdr:clientData/>
  </xdr:twoCellAnchor>
  <xdr:twoCellAnchor editAs="absolute">
    <xdr:from>
      <xdr:col>1</xdr:col>
      <xdr:colOff>416559</xdr:colOff>
      <xdr:row>15</xdr:row>
      <xdr:rowOff>3398</xdr:rowOff>
    </xdr:from>
    <xdr:to>
      <xdr:col>4</xdr:col>
      <xdr:colOff>231299</xdr:colOff>
      <xdr:row>16</xdr:row>
      <xdr:rowOff>111693</xdr:rowOff>
    </xdr:to>
    <xdr:sp macro="" textlink="">
      <xdr:nvSpPr>
        <xdr:cNvPr id="4" name="Rectangle: Rounded Corners 3">
          <a:extLst>
            <a:ext uri="{FF2B5EF4-FFF2-40B4-BE49-F238E27FC236}">
              <a16:creationId xmlns:a16="http://schemas.microsoft.com/office/drawing/2014/main" id="{00000000-0008-0000-0200-000004000000}"/>
            </a:ext>
          </a:extLst>
        </xdr:cNvPr>
        <xdr:cNvSpPr/>
      </xdr:nvSpPr>
      <xdr:spPr>
        <a:xfrm>
          <a:off x="1028699" y="2716118"/>
          <a:ext cx="1717200" cy="288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Type d'audit</a:t>
          </a:r>
        </a:p>
      </xdr:txBody>
    </xdr:sp>
    <xdr:clientData/>
  </xdr:twoCellAnchor>
  <xdr:twoCellAnchor editAs="absolute">
    <xdr:from>
      <xdr:col>1</xdr:col>
      <xdr:colOff>416559</xdr:colOff>
      <xdr:row>17</xdr:row>
      <xdr:rowOff>336</xdr:rowOff>
    </xdr:from>
    <xdr:to>
      <xdr:col>4</xdr:col>
      <xdr:colOff>231299</xdr:colOff>
      <xdr:row>18</xdr:row>
      <xdr:rowOff>111171</xdr:rowOff>
    </xdr:to>
    <xdr:sp macro="" textlink="">
      <xdr:nvSpPr>
        <xdr:cNvPr id="5" name="Rectangle: Rounded Corners 4">
          <a:extLst>
            <a:ext uri="{FF2B5EF4-FFF2-40B4-BE49-F238E27FC236}">
              <a16:creationId xmlns:a16="http://schemas.microsoft.com/office/drawing/2014/main" id="{00000000-0008-0000-0200-000005000000}"/>
            </a:ext>
          </a:extLst>
        </xdr:cNvPr>
        <xdr:cNvSpPr/>
      </xdr:nvSpPr>
      <xdr:spPr>
        <a:xfrm>
          <a:off x="1028699" y="3076911"/>
          <a:ext cx="1717200" cy="288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Organisme certificateur</a:t>
          </a:r>
        </a:p>
      </xdr:txBody>
    </xdr:sp>
    <xdr:clientData/>
  </xdr:twoCellAnchor>
  <xdr:twoCellAnchor editAs="absolute">
    <xdr:from>
      <xdr:col>1</xdr:col>
      <xdr:colOff>416559</xdr:colOff>
      <xdr:row>19</xdr:row>
      <xdr:rowOff>149038</xdr:rowOff>
    </xdr:from>
    <xdr:to>
      <xdr:col>4</xdr:col>
      <xdr:colOff>231299</xdr:colOff>
      <xdr:row>21</xdr:row>
      <xdr:rowOff>73183</xdr:rowOff>
    </xdr:to>
    <xdr:sp macro="" textlink="">
      <xdr:nvSpPr>
        <xdr:cNvPr id="6" name="Rectangle: Rounded Corners 5">
          <a:extLst>
            <a:ext uri="{FF2B5EF4-FFF2-40B4-BE49-F238E27FC236}">
              <a16:creationId xmlns:a16="http://schemas.microsoft.com/office/drawing/2014/main" id="{00000000-0008-0000-0200-000006000000}"/>
            </a:ext>
          </a:extLst>
        </xdr:cNvPr>
        <xdr:cNvSpPr/>
      </xdr:nvSpPr>
      <xdr:spPr>
        <a:xfrm>
          <a:off x="1028699" y="3582483"/>
          <a:ext cx="1717200" cy="288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Nom de l'auditeur</a:t>
          </a:r>
        </a:p>
      </xdr:txBody>
    </xdr:sp>
    <xdr:clientData/>
  </xdr:twoCellAnchor>
  <xdr:twoCellAnchor>
    <xdr:from>
      <xdr:col>1</xdr:col>
      <xdr:colOff>285750</xdr:colOff>
      <xdr:row>30</xdr:row>
      <xdr:rowOff>47625</xdr:rowOff>
    </xdr:from>
    <xdr:to>
      <xdr:col>6</xdr:col>
      <xdr:colOff>323850</xdr:colOff>
      <xdr:row>31</xdr:row>
      <xdr:rowOff>153600</xdr:rowOff>
    </xdr:to>
    <xdr:sp macro="" textlink="">
      <xdr:nvSpPr>
        <xdr:cNvPr id="7" name="Parallelogram 6">
          <a:extLst>
            <a:ext uri="{FF2B5EF4-FFF2-40B4-BE49-F238E27FC236}">
              <a16:creationId xmlns:a16="http://schemas.microsoft.com/office/drawing/2014/main" id="{00000000-0008-0000-0200-000007000000}"/>
            </a:ext>
          </a:extLst>
        </xdr:cNvPr>
        <xdr:cNvSpPr/>
      </xdr:nvSpPr>
      <xdr:spPr>
        <a:xfrm>
          <a:off x="895350" y="3876675"/>
          <a:ext cx="3086100" cy="306000"/>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Identification de l'exploitation auditée</a:t>
          </a:r>
        </a:p>
      </xdr:txBody>
    </xdr:sp>
    <xdr:clientData/>
  </xdr:twoCellAnchor>
  <xdr:twoCellAnchor>
    <xdr:from>
      <xdr:col>1</xdr:col>
      <xdr:colOff>403859</xdr:colOff>
      <xdr:row>32</xdr:row>
      <xdr:rowOff>133350</xdr:rowOff>
    </xdr:from>
    <xdr:to>
      <xdr:col>4</xdr:col>
      <xdr:colOff>229574</xdr:colOff>
      <xdr:row>34</xdr:row>
      <xdr:rowOff>59400</xdr:rowOff>
    </xdr:to>
    <xdr:sp macro="" textlink="">
      <xdr:nvSpPr>
        <xdr:cNvPr id="8" name="Rectangle: Rounded Corners 7">
          <a:extLst>
            <a:ext uri="{FF2B5EF4-FFF2-40B4-BE49-F238E27FC236}">
              <a16:creationId xmlns:a16="http://schemas.microsoft.com/office/drawing/2014/main" id="{00000000-0008-0000-0200-000008000000}"/>
            </a:ext>
          </a:extLst>
        </xdr:cNvPr>
        <xdr:cNvSpPr/>
      </xdr:nvSpPr>
      <xdr:spPr>
        <a:xfrm>
          <a:off x="1032509" y="5953125"/>
          <a:ext cx="1711665" cy="288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Nom de l'exploitant</a:t>
          </a:r>
        </a:p>
      </xdr:txBody>
    </xdr:sp>
    <xdr:clientData/>
  </xdr:twoCellAnchor>
  <xdr:twoCellAnchor>
    <xdr:from>
      <xdr:col>1</xdr:col>
      <xdr:colOff>403859</xdr:colOff>
      <xdr:row>34</xdr:row>
      <xdr:rowOff>130549</xdr:rowOff>
    </xdr:from>
    <xdr:to>
      <xdr:col>4</xdr:col>
      <xdr:colOff>229574</xdr:colOff>
      <xdr:row>36</xdr:row>
      <xdr:rowOff>56599</xdr:rowOff>
    </xdr:to>
    <xdr:sp macro="" textlink="">
      <xdr:nvSpPr>
        <xdr:cNvPr id="9" name="Rectangle: Rounded Corners 8">
          <a:extLst>
            <a:ext uri="{FF2B5EF4-FFF2-40B4-BE49-F238E27FC236}">
              <a16:creationId xmlns:a16="http://schemas.microsoft.com/office/drawing/2014/main" id="{00000000-0008-0000-0200-000009000000}"/>
            </a:ext>
          </a:extLst>
        </xdr:cNvPr>
        <xdr:cNvSpPr/>
      </xdr:nvSpPr>
      <xdr:spPr>
        <a:xfrm>
          <a:off x="1032509" y="6312274"/>
          <a:ext cx="1711665" cy="288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Raison sociale</a:t>
          </a:r>
        </a:p>
      </xdr:txBody>
    </xdr:sp>
    <xdr:clientData/>
  </xdr:twoCellAnchor>
  <xdr:twoCellAnchor>
    <xdr:from>
      <xdr:col>1</xdr:col>
      <xdr:colOff>403859</xdr:colOff>
      <xdr:row>36</xdr:row>
      <xdr:rowOff>135368</xdr:rowOff>
    </xdr:from>
    <xdr:to>
      <xdr:col>4</xdr:col>
      <xdr:colOff>229574</xdr:colOff>
      <xdr:row>38</xdr:row>
      <xdr:rowOff>61418</xdr:rowOff>
    </xdr:to>
    <xdr:sp macro="" textlink="">
      <xdr:nvSpPr>
        <xdr:cNvPr id="10" name="Rectangle: Rounded Corners 9">
          <a:extLst>
            <a:ext uri="{FF2B5EF4-FFF2-40B4-BE49-F238E27FC236}">
              <a16:creationId xmlns:a16="http://schemas.microsoft.com/office/drawing/2014/main" id="{00000000-0008-0000-0200-00000A000000}"/>
            </a:ext>
          </a:extLst>
        </xdr:cNvPr>
        <xdr:cNvSpPr/>
      </xdr:nvSpPr>
      <xdr:spPr>
        <a:xfrm>
          <a:off x="1032509" y="6679043"/>
          <a:ext cx="1711665" cy="288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SIRET</a:t>
          </a:r>
        </a:p>
      </xdr:txBody>
    </xdr:sp>
    <xdr:clientData/>
  </xdr:twoCellAnchor>
  <xdr:twoCellAnchor editAs="oneCell">
    <xdr:from>
      <xdr:col>1</xdr:col>
      <xdr:colOff>403859</xdr:colOff>
      <xdr:row>40</xdr:row>
      <xdr:rowOff>133577</xdr:rowOff>
    </xdr:from>
    <xdr:to>
      <xdr:col>4</xdr:col>
      <xdr:colOff>229574</xdr:colOff>
      <xdr:row>42</xdr:row>
      <xdr:rowOff>72962</xdr:rowOff>
    </xdr:to>
    <xdr:sp macro="" textlink="">
      <xdr:nvSpPr>
        <xdr:cNvPr id="11" name="Rectangle: Rounded Corners 10">
          <a:extLst>
            <a:ext uri="{FF2B5EF4-FFF2-40B4-BE49-F238E27FC236}">
              <a16:creationId xmlns:a16="http://schemas.microsoft.com/office/drawing/2014/main" id="{00000000-0008-0000-0200-00000B000000}"/>
            </a:ext>
          </a:extLst>
        </xdr:cNvPr>
        <xdr:cNvSpPr/>
      </xdr:nvSpPr>
      <xdr:spPr>
        <a:xfrm>
          <a:off x="1032509" y="7401152"/>
          <a:ext cx="1711665" cy="288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Année de création</a:t>
          </a:r>
        </a:p>
      </xdr:txBody>
    </xdr:sp>
    <xdr:clientData/>
  </xdr:twoCellAnchor>
  <xdr:twoCellAnchor>
    <xdr:from>
      <xdr:col>14</xdr:col>
      <xdr:colOff>97154</xdr:colOff>
      <xdr:row>34</xdr:row>
      <xdr:rowOff>121285</xdr:rowOff>
    </xdr:from>
    <xdr:to>
      <xdr:col>16</xdr:col>
      <xdr:colOff>549614</xdr:colOff>
      <xdr:row>36</xdr:row>
      <xdr:rowOff>37810</xdr:rowOff>
    </xdr:to>
    <xdr:sp macro="" textlink="">
      <xdr:nvSpPr>
        <xdr:cNvPr id="12" name="Rectangle: Rounded Corners 11">
          <a:extLst>
            <a:ext uri="{FF2B5EF4-FFF2-40B4-BE49-F238E27FC236}">
              <a16:creationId xmlns:a16="http://schemas.microsoft.com/office/drawing/2014/main" id="{00000000-0008-0000-0200-00000C000000}"/>
            </a:ext>
          </a:extLst>
        </xdr:cNvPr>
        <xdr:cNvSpPr/>
      </xdr:nvSpPr>
      <xdr:spPr>
        <a:xfrm>
          <a:off x="8898254" y="6303010"/>
          <a:ext cx="1709760" cy="2784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Adresse complément</a:t>
          </a:r>
        </a:p>
      </xdr:txBody>
    </xdr:sp>
    <xdr:clientData/>
  </xdr:twoCellAnchor>
  <xdr:twoCellAnchor>
    <xdr:from>
      <xdr:col>14</xdr:col>
      <xdr:colOff>95249</xdr:colOff>
      <xdr:row>38</xdr:row>
      <xdr:rowOff>126365</xdr:rowOff>
    </xdr:from>
    <xdr:to>
      <xdr:col>16</xdr:col>
      <xdr:colOff>555329</xdr:colOff>
      <xdr:row>40</xdr:row>
      <xdr:rowOff>58130</xdr:rowOff>
    </xdr:to>
    <xdr:sp macro="" textlink="">
      <xdr:nvSpPr>
        <xdr:cNvPr id="13" name="Rectangle: Rounded Corners 12">
          <a:extLst>
            <a:ext uri="{FF2B5EF4-FFF2-40B4-BE49-F238E27FC236}">
              <a16:creationId xmlns:a16="http://schemas.microsoft.com/office/drawing/2014/main" id="{00000000-0008-0000-0200-00000D000000}"/>
            </a:ext>
          </a:extLst>
        </xdr:cNvPr>
        <xdr:cNvSpPr/>
      </xdr:nvSpPr>
      <xdr:spPr>
        <a:xfrm>
          <a:off x="8896349" y="7031990"/>
          <a:ext cx="1717380" cy="29371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Code postal</a:t>
          </a:r>
        </a:p>
      </xdr:txBody>
    </xdr:sp>
    <xdr:clientData/>
  </xdr:twoCellAnchor>
  <xdr:twoCellAnchor>
    <xdr:from>
      <xdr:col>14</xdr:col>
      <xdr:colOff>95249</xdr:colOff>
      <xdr:row>36</xdr:row>
      <xdr:rowOff>125729</xdr:rowOff>
    </xdr:from>
    <xdr:to>
      <xdr:col>16</xdr:col>
      <xdr:colOff>553424</xdr:colOff>
      <xdr:row>38</xdr:row>
      <xdr:rowOff>44159</xdr:rowOff>
    </xdr:to>
    <xdr:sp macro="" textlink="">
      <xdr:nvSpPr>
        <xdr:cNvPr id="14" name="Rectangle: Rounded Corners 13">
          <a:extLst>
            <a:ext uri="{FF2B5EF4-FFF2-40B4-BE49-F238E27FC236}">
              <a16:creationId xmlns:a16="http://schemas.microsoft.com/office/drawing/2014/main" id="{00000000-0008-0000-0200-00000E000000}"/>
            </a:ext>
          </a:extLst>
        </xdr:cNvPr>
        <xdr:cNvSpPr/>
      </xdr:nvSpPr>
      <xdr:spPr>
        <a:xfrm>
          <a:off x="8896349" y="6669404"/>
          <a:ext cx="1715475" cy="28038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Commune</a:t>
          </a:r>
        </a:p>
      </xdr:txBody>
    </xdr:sp>
    <xdr:clientData/>
  </xdr:twoCellAnchor>
  <xdr:twoCellAnchor>
    <xdr:from>
      <xdr:col>14</xdr:col>
      <xdr:colOff>97154</xdr:colOff>
      <xdr:row>32</xdr:row>
      <xdr:rowOff>108584</xdr:rowOff>
    </xdr:from>
    <xdr:to>
      <xdr:col>16</xdr:col>
      <xdr:colOff>549614</xdr:colOff>
      <xdr:row>34</xdr:row>
      <xdr:rowOff>36539</xdr:rowOff>
    </xdr:to>
    <xdr:sp macro="" textlink="">
      <xdr:nvSpPr>
        <xdr:cNvPr id="15" name="Rectangle: Rounded Corners 14">
          <a:extLst>
            <a:ext uri="{FF2B5EF4-FFF2-40B4-BE49-F238E27FC236}">
              <a16:creationId xmlns:a16="http://schemas.microsoft.com/office/drawing/2014/main" id="{00000000-0008-0000-0200-00000F000000}"/>
            </a:ext>
          </a:extLst>
        </xdr:cNvPr>
        <xdr:cNvSpPr/>
      </xdr:nvSpPr>
      <xdr:spPr>
        <a:xfrm>
          <a:off x="8898254" y="5928359"/>
          <a:ext cx="1709760" cy="28990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Adresse </a:t>
          </a:r>
        </a:p>
      </xdr:txBody>
    </xdr:sp>
    <xdr:clientData/>
  </xdr:twoCellAnchor>
  <xdr:twoCellAnchor>
    <xdr:from>
      <xdr:col>1</xdr:col>
      <xdr:colOff>396240</xdr:colOff>
      <xdr:row>45</xdr:row>
      <xdr:rowOff>121284</xdr:rowOff>
    </xdr:from>
    <xdr:to>
      <xdr:col>4</xdr:col>
      <xdr:colOff>206715</xdr:colOff>
      <xdr:row>47</xdr:row>
      <xdr:rowOff>11139</xdr:rowOff>
    </xdr:to>
    <xdr:sp macro="" textlink="">
      <xdr:nvSpPr>
        <xdr:cNvPr id="19" name="Rectangle: Rounded Corners 18">
          <a:extLst>
            <a:ext uri="{FF2B5EF4-FFF2-40B4-BE49-F238E27FC236}">
              <a16:creationId xmlns:a16="http://schemas.microsoft.com/office/drawing/2014/main" id="{00000000-0008-0000-0200-000013000000}"/>
            </a:ext>
          </a:extLst>
        </xdr:cNvPr>
        <xdr:cNvSpPr/>
      </xdr:nvSpPr>
      <xdr:spPr>
        <a:xfrm>
          <a:off x="1024890" y="8293734"/>
          <a:ext cx="1696425" cy="25180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Adresse e-mail</a:t>
          </a:r>
        </a:p>
      </xdr:txBody>
    </xdr:sp>
    <xdr:clientData/>
  </xdr:twoCellAnchor>
  <xdr:twoCellAnchor>
    <xdr:from>
      <xdr:col>1</xdr:col>
      <xdr:colOff>400050</xdr:colOff>
      <xdr:row>47</xdr:row>
      <xdr:rowOff>120650</xdr:rowOff>
    </xdr:from>
    <xdr:to>
      <xdr:col>4</xdr:col>
      <xdr:colOff>210525</xdr:colOff>
      <xdr:row>49</xdr:row>
      <xdr:rowOff>12410</xdr:rowOff>
    </xdr:to>
    <xdr:sp macro="" textlink="">
      <xdr:nvSpPr>
        <xdr:cNvPr id="20" name="Rectangle: Rounded Corners 19">
          <a:extLst>
            <a:ext uri="{FF2B5EF4-FFF2-40B4-BE49-F238E27FC236}">
              <a16:creationId xmlns:a16="http://schemas.microsoft.com/office/drawing/2014/main" id="{00000000-0008-0000-0200-000014000000}"/>
            </a:ext>
          </a:extLst>
        </xdr:cNvPr>
        <xdr:cNvSpPr/>
      </xdr:nvSpPr>
      <xdr:spPr>
        <a:xfrm>
          <a:off x="1028700" y="8655050"/>
          <a:ext cx="1696425" cy="25371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Site Internet</a:t>
          </a:r>
        </a:p>
      </xdr:txBody>
    </xdr:sp>
    <xdr:clientData/>
  </xdr:twoCellAnchor>
  <xdr:twoCellAnchor>
    <xdr:from>
      <xdr:col>14</xdr:col>
      <xdr:colOff>114299</xdr:colOff>
      <xdr:row>47</xdr:row>
      <xdr:rowOff>83820</xdr:rowOff>
    </xdr:from>
    <xdr:to>
      <xdr:col>19</xdr:col>
      <xdr:colOff>175259</xdr:colOff>
      <xdr:row>49</xdr:row>
      <xdr:rowOff>28920</xdr:rowOff>
    </xdr:to>
    <xdr:sp macro="" textlink="">
      <xdr:nvSpPr>
        <xdr:cNvPr id="21" name="Rectangle: Rounded Corners 20">
          <a:extLst>
            <a:ext uri="{FF2B5EF4-FFF2-40B4-BE49-F238E27FC236}">
              <a16:creationId xmlns:a16="http://schemas.microsoft.com/office/drawing/2014/main" id="{00000000-0008-0000-0200-000015000000}"/>
            </a:ext>
          </a:extLst>
        </xdr:cNvPr>
        <xdr:cNvSpPr/>
      </xdr:nvSpPr>
      <xdr:spPr>
        <a:xfrm>
          <a:off x="8915399" y="8618220"/>
          <a:ext cx="3204210" cy="3070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Autorisation de référencement dans l'annuaire</a:t>
          </a:r>
        </a:p>
      </xdr:txBody>
    </xdr:sp>
    <xdr:clientData/>
  </xdr:twoCellAnchor>
  <xdr:twoCellAnchor>
    <xdr:from>
      <xdr:col>1</xdr:col>
      <xdr:colOff>401620</xdr:colOff>
      <xdr:row>43</xdr:row>
      <xdr:rowOff>140970</xdr:rowOff>
    </xdr:from>
    <xdr:to>
      <xdr:col>4</xdr:col>
      <xdr:colOff>210190</xdr:colOff>
      <xdr:row>45</xdr:row>
      <xdr:rowOff>30825</xdr:rowOff>
    </xdr:to>
    <xdr:sp macro="" textlink="">
      <xdr:nvSpPr>
        <xdr:cNvPr id="22" name="Rectangle: Rounded Corners 21">
          <a:extLst>
            <a:ext uri="{FF2B5EF4-FFF2-40B4-BE49-F238E27FC236}">
              <a16:creationId xmlns:a16="http://schemas.microsoft.com/office/drawing/2014/main" id="{00000000-0008-0000-0200-000016000000}"/>
            </a:ext>
          </a:extLst>
        </xdr:cNvPr>
        <xdr:cNvSpPr/>
      </xdr:nvSpPr>
      <xdr:spPr>
        <a:xfrm>
          <a:off x="1030270" y="7951470"/>
          <a:ext cx="1694520" cy="25180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Numéro de téléphone </a:t>
          </a:r>
        </a:p>
      </xdr:txBody>
    </xdr:sp>
    <xdr:clientData/>
  </xdr:twoCellAnchor>
  <xdr:twoCellAnchor>
    <xdr:from>
      <xdr:col>1</xdr:col>
      <xdr:colOff>228600</xdr:colOff>
      <xdr:row>54</xdr:row>
      <xdr:rowOff>38100</xdr:rowOff>
    </xdr:from>
    <xdr:to>
      <xdr:col>5</xdr:col>
      <xdr:colOff>209550</xdr:colOff>
      <xdr:row>55</xdr:row>
      <xdr:rowOff>144075</xdr:rowOff>
    </xdr:to>
    <xdr:sp macro="" textlink="">
      <xdr:nvSpPr>
        <xdr:cNvPr id="23" name="Parallelogram 22">
          <a:extLst>
            <a:ext uri="{FF2B5EF4-FFF2-40B4-BE49-F238E27FC236}">
              <a16:creationId xmlns:a16="http://schemas.microsoft.com/office/drawing/2014/main" id="{00000000-0008-0000-0200-000017000000}"/>
            </a:ext>
          </a:extLst>
        </xdr:cNvPr>
        <xdr:cNvSpPr/>
      </xdr:nvSpPr>
      <xdr:spPr>
        <a:xfrm>
          <a:off x="833718" y="9988924"/>
          <a:ext cx="2401420" cy="307680"/>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Caractéristiques générales </a:t>
          </a:r>
        </a:p>
      </xdr:txBody>
    </xdr:sp>
    <xdr:clientData/>
  </xdr:twoCellAnchor>
  <xdr:twoCellAnchor>
    <xdr:from>
      <xdr:col>1</xdr:col>
      <xdr:colOff>512445</xdr:colOff>
      <xdr:row>56</xdr:row>
      <xdr:rowOff>152400</xdr:rowOff>
    </xdr:from>
    <xdr:to>
      <xdr:col>4</xdr:col>
      <xdr:colOff>343875</xdr:colOff>
      <xdr:row>58</xdr:row>
      <xdr:rowOff>78450</xdr:rowOff>
    </xdr:to>
    <xdr:sp macro="" textlink="">
      <xdr:nvSpPr>
        <xdr:cNvPr id="24" name="Rectangle: Rounded Corners 23">
          <a:extLst>
            <a:ext uri="{FF2B5EF4-FFF2-40B4-BE49-F238E27FC236}">
              <a16:creationId xmlns:a16="http://schemas.microsoft.com/office/drawing/2014/main" id="{00000000-0008-0000-0200-000018000000}"/>
            </a:ext>
          </a:extLst>
        </xdr:cNvPr>
        <xdr:cNvSpPr/>
      </xdr:nvSpPr>
      <xdr:spPr>
        <a:xfrm>
          <a:off x="1141095" y="10334625"/>
          <a:ext cx="1717380" cy="288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Statut juridique</a:t>
          </a:r>
        </a:p>
      </xdr:txBody>
    </xdr:sp>
    <xdr:clientData/>
  </xdr:twoCellAnchor>
  <xdr:twoCellAnchor>
    <xdr:from>
      <xdr:col>1</xdr:col>
      <xdr:colOff>512445</xdr:colOff>
      <xdr:row>59</xdr:row>
      <xdr:rowOff>55245</xdr:rowOff>
    </xdr:from>
    <xdr:to>
      <xdr:col>4</xdr:col>
      <xdr:colOff>343875</xdr:colOff>
      <xdr:row>60</xdr:row>
      <xdr:rowOff>162270</xdr:rowOff>
    </xdr:to>
    <xdr:sp macro="" textlink="">
      <xdr:nvSpPr>
        <xdr:cNvPr id="25" name="Rectangle: Rounded Corners 24">
          <a:extLst>
            <a:ext uri="{FF2B5EF4-FFF2-40B4-BE49-F238E27FC236}">
              <a16:creationId xmlns:a16="http://schemas.microsoft.com/office/drawing/2014/main" id="{00000000-0008-0000-0200-000019000000}"/>
            </a:ext>
          </a:extLst>
        </xdr:cNvPr>
        <xdr:cNvSpPr/>
      </xdr:nvSpPr>
      <xdr:spPr>
        <a:xfrm>
          <a:off x="1141095" y="10780395"/>
          <a:ext cx="1717380" cy="288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Activité végétale</a:t>
          </a:r>
        </a:p>
      </xdr:txBody>
    </xdr:sp>
    <xdr:clientData/>
  </xdr:twoCellAnchor>
  <xdr:twoCellAnchor>
    <xdr:from>
      <xdr:col>3</xdr:col>
      <xdr:colOff>619125</xdr:colOff>
      <xdr:row>61</xdr:row>
      <xdr:rowOff>131445</xdr:rowOff>
    </xdr:from>
    <xdr:to>
      <xdr:col>6</xdr:col>
      <xdr:colOff>425175</xdr:colOff>
      <xdr:row>63</xdr:row>
      <xdr:rowOff>36735</xdr:rowOff>
    </xdr:to>
    <xdr:sp macro="" textlink="">
      <xdr:nvSpPr>
        <xdr:cNvPr id="26" name="Rectangle 25">
          <a:extLst>
            <a:ext uri="{FF2B5EF4-FFF2-40B4-BE49-F238E27FC236}">
              <a16:creationId xmlns:a16="http://schemas.microsoft.com/office/drawing/2014/main" id="{00000000-0008-0000-0200-00001A000000}"/>
            </a:ext>
          </a:extLst>
        </xdr:cNvPr>
        <xdr:cNvSpPr/>
      </xdr:nvSpPr>
      <xdr:spPr>
        <a:xfrm>
          <a:off x="2505075" y="11218545"/>
          <a:ext cx="1692000" cy="267240"/>
        </a:xfrm>
        <a:prstGeom prst="rect">
          <a:avLst/>
        </a:prstGeom>
        <a:solidFill>
          <a:schemeClr val="tx2">
            <a:lumMod val="60000"/>
            <a:lumOff val="40000"/>
          </a:schemeClr>
        </a:solidFill>
        <a:ln>
          <a:solidFill>
            <a:schemeClr val="tx2">
              <a:lumMod val="60000"/>
              <a:lumOff val="40000"/>
            </a:schemeClr>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fr-FR" sz="1100" baseline="0"/>
            <a:t>Activité principale	</a:t>
          </a:r>
          <a:endParaRPr lang="fr-FR" sz="1100"/>
        </a:p>
      </xdr:txBody>
    </xdr:sp>
    <xdr:clientData/>
  </xdr:twoCellAnchor>
  <xdr:twoCellAnchor>
    <xdr:from>
      <xdr:col>3</xdr:col>
      <xdr:colOff>619125</xdr:colOff>
      <xdr:row>63</xdr:row>
      <xdr:rowOff>154302</xdr:rowOff>
    </xdr:from>
    <xdr:to>
      <xdr:col>6</xdr:col>
      <xdr:colOff>425175</xdr:colOff>
      <xdr:row>65</xdr:row>
      <xdr:rowOff>57687</xdr:rowOff>
    </xdr:to>
    <xdr:sp macro="" textlink="">
      <xdr:nvSpPr>
        <xdr:cNvPr id="27" name="Rectangle 26">
          <a:extLst>
            <a:ext uri="{FF2B5EF4-FFF2-40B4-BE49-F238E27FC236}">
              <a16:creationId xmlns:a16="http://schemas.microsoft.com/office/drawing/2014/main" id="{00000000-0008-0000-0200-00001B000000}"/>
            </a:ext>
          </a:extLst>
        </xdr:cNvPr>
        <xdr:cNvSpPr/>
      </xdr:nvSpPr>
      <xdr:spPr>
        <a:xfrm>
          <a:off x="2505075" y="11603352"/>
          <a:ext cx="1692000" cy="265335"/>
        </a:xfrm>
        <a:prstGeom prst="rect">
          <a:avLst/>
        </a:prstGeom>
        <a:solidFill>
          <a:schemeClr val="tx2">
            <a:lumMod val="60000"/>
            <a:lumOff val="40000"/>
          </a:schemeClr>
        </a:solidFill>
        <a:ln>
          <a:solidFill>
            <a:schemeClr val="tx2">
              <a:lumMod val="60000"/>
              <a:lumOff val="40000"/>
            </a:schemeClr>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fr-FR" sz="1100"/>
            <a:t>Activité</a:t>
          </a:r>
          <a:r>
            <a:rPr lang="fr-FR" sz="1100" baseline="0"/>
            <a:t> secondaire</a:t>
          </a:r>
          <a:endParaRPr lang="fr-FR" sz="1100"/>
        </a:p>
      </xdr:txBody>
    </xdr:sp>
    <xdr:clientData/>
  </xdr:twoCellAnchor>
  <xdr:twoCellAnchor>
    <xdr:from>
      <xdr:col>3</xdr:col>
      <xdr:colOff>621029</xdr:colOff>
      <xdr:row>65</xdr:row>
      <xdr:rowOff>135255</xdr:rowOff>
    </xdr:from>
    <xdr:to>
      <xdr:col>6</xdr:col>
      <xdr:colOff>428984</xdr:colOff>
      <xdr:row>67</xdr:row>
      <xdr:rowOff>30390</xdr:rowOff>
    </xdr:to>
    <xdr:sp macro="" textlink="">
      <xdr:nvSpPr>
        <xdr:cNvPr id="28" name="Rectangle 27">
          <a:extLst>
            <a:ext uri="{FF2B5EF4-FFF2-40B4-BE49-F238E27FC236}">
              <a16:creationId xmlns:a16="http://schemas.microsoft.com/office/drawing/2014/main" id="{00000000-0008-0000-0200-00001C000000}"/>
            </a:ext>
          </a:extLst>
        </xdr:cNvPr>
        <xdr:cNvSpPr/>
      </xdr:nvSpPr>
      <xdr:spPr>
        <a:xfrm>
          <a:off x="2506979" y="11946255"/>
          <a:ext cx="1693905" cy="257085"/>
        </a:xfrm>
        <a:prstGeom prst="rect">
          <a:avLst/>
        </a:prstGeom>
        <a:solidFill>
          <a:schemeClr val="tx2">
            <a:lumMod val="60000"/>
            <a:lumOff val="40000"/>
          </a:schemeClr>
        </a:solidFill>
        <a:ln>
          <a:solidFill>
            <a:schemeClr val="tx2">
              <a:lumMod val="60000"/>
              <a:lumOff val="40000"/>
            </a:schemeClr>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fr-FR" sz="1100" baseline="0"/>
            <a:t>Autre activité</a:t>
          </a:r>
          <a:endParaRPr lang="fr-FR" sz="1100"/>
        </a:p>
      </xdr:txBody>
    </xdr:sp>
    <xdr:clientData/>
  </xdr:twoCellAnchor>
  <xdr:twoCellAnchor>
    <xdr:from>
      <xdr:col>13</xdr:col>
      <xdr:colOff>514350</xdr:colOff>
      <xdr:row>59</xdr:row>
      <xdr:rowOff>55244</xdr:rowOff>
    </xdr:from>
    <xdr:to>
      <xdr:col>16</xdr:col>
      <xdr:colOff>322920</xdr:colOff>
      <xdr:row>60</xdr:row>
      <xdr:rowOff>162269</xdr:rowOff>
    </xdr:to>
    <xdr:sp macro="" textlink="">
      <xdr:nvSpPr>
        <xdr:cNvPr id="29" name="Rectangle: Rounded Corners 28">
          <a:extLst>
            <a:ext uri="{FF2B5EF4-FFF2-40B4-BE49-F238E27FC236}">
              <a16:creationId xmlns:a16="http://schemas.microsoft.com/office/drawing/2014/main" id="{00000000-0008-0000-0200-00001D000000}"/>
            </a:ext>
          </a:extLst>
        </xdr:cNvPr>
        <xdr:cNvSpPr/>
      </xdr:nvSpPr>
      <xdr:spPr>
        <a:xfrm>
          <a:off x="8686800" y="10780394"/>
          <a:ext cx="1694520" cy="288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Activité animale</a:t>
          </a:r>
        </a:p>
      </xdr:txBody>
    </xdr:sp>
    <xdr:clientData/>
  </xdr:twoCellAnchor>
  <xdr:twoCellAnchor>
    <xdr:from>
      <xdr:col>15</xdr:col>
      <xdr:colOff>600074</xdr:colOff>
      <xdr:row>61</xdr:row>
      <xdr:rowOff>154305</xdr:rowOff>
    </xdr:from>
    <xdr:to>
      <xdr:col>18</xdr:col>
      <xdr:colOff>419249</xdr:colOff>
      <xdr:row>63</xdr:row>
      <xdr:rowOff>40755</xdr:rowOff>
    </xdr:to>
    <xdr:sp macro="" textlink="">
      <xdr:nvSpPr>
        <xdr:cNvPr id="30" name="Rectangle 29">
          <a:extLst>
            <a:ext uri="{FF2B5EF4-FFF2-40B4-BE49-F238E27FC236}">
              <a16:creationId xmlns:a16="http://schemas.microsoft.com/office/drawing/2014/main" id="{00000000-0008-0000-0200-00001E000000}"/>
            </a:ext>
          </a:extLst>
        </xdr:cNvPr>
        <xdr:cNvSpPr/>
      </xdr:nvSpPr>
      <xdr:spPr>
        <a:xfrm>
          <a:off x="10029824" y="11241405"/>
          <a:ext cx="1705125" cy="248400"/>
        </a:xfrm>
        <a:prstGeom prst="rect">
          <a:avLst/>
        </a:prstGeom>
        <a:solidFill>
          <a:schemeClr val="tx2">
            <a:lumMod val="60000"/>
            <a:lumOff val="40000"/>
          </a:schemeClr>
        </a:solidFill>
        <a:ln>
          <a:solidFill>
            <a:schemeClr val="tx2">
              <a:lumMod val="60000"/>
              <a:lumOff val="40000"/>
            </a:schemeClr>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fr-FR" sz="1100" baseline="0"/>
            <a:t>Activité principale	</a:t>
          </a:r>
          <a:endParaRPr lang="fr-FR" sz="1100"/>
        </a:p>
      </xdr:txBody>
    </xdr:sp>
    <xdr:clientData/>
  </xdr:twoCellAnchor>
  <xdr:twoCellAnchor>
    <xdr:from>
      <xdr:col>15</xdr:col>
      <xdr:colOff>600073</xdr:colOff>
      <xdr:row>63</xdr:row>
      <xdr:rowOff>150495</xdr:rowOff>
    </xdr:from>
    <xdr:to>
      <xdr:col>18</xdr:col>
      <xdr:colOff>419458</xdr:colOff>
      <xdr:row>65</xdr:row>
      <xdr:rowOff>38100</xdr:rowOff>
    </xdr:to>
    <xdr:sp macro="" textlink="">
      <xdr:nvSpPr>
        <xdr:cNvPr id="31" name="Rectangle 30">
          <a:extLst>
            <a:ext uri="{FF2B5EF4-FFF2-40B4-BE49-F238E27FC236}">
              <a16:creationId xmlns:a16="http://schemas.microsoft.com/office/drawing/2014/main" id="{00000000-0008-0000-0200-00001F000000}"/>
            </a:ext>
          </a:extLst>
        </xdr:cNvPr>
        <xdr:cNvSpPr/>
      </xdr:nvSpPr>
      <xdr:spPr>
        <a:xfrm>
          <a:off x="10029823" y="11599545"/>
          <a:ext cx="1705335" cy="249555"/>
        </a:xfrm>
        <a:prstGeom prst="rect">
          <a:avLst/>
        </a:prstGeom>
        <a:solidFill>
          <a:schemeClr val="tx2">
            <a:lumMod val="60000"/>
            <a:lumOff val="40000"/>
          </a:schemeClr>
        </a:solidFill>
        <a:ln>
          <a:solidFill>
            <a:schemeClr val="tx2">
              <a:lumMod val="60000"/>
              <a:lumOff val="40000"/>
            </a:schemeClr>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fr-FR" sz="1100"/>
            <a:t>Activité</a:t>
          </a:r>
          <a:r>
            <a:rPr lang="fr-FR" sz="1100" baseline="0"/>
            <a:t> secondaire</a:t>
          </a:r>
          <a:endParaRPr lang="fr-FR" sz="1100"/>
        </a:p>
      </xdr:txBody>
    </xdr:sp>
    <xdr:clientData/>
  </xdr:twoCellAnchor>
  <xdr:twoCellAnchor>
    <xdr:from>
      <xdr:col>15</xdr:col>
      <xdr:colOff>601978</xdr:colOff>
      <xdr:row>65</xdr:row>
      <xdr:rowOff>140970</xdr:rowOff>
    </xdr:from>
    <xdr:to>
      <xdr:col>18</xdr:col>
      <xdr:colOff>408028</xdr:colOff>
      <xdr:row>67</xdr:row>
      <xdr:rowOff>34830</xdr:rowOff>
    </xdr:to>
    <xdr:sp macro="" textlink="">
      <xdr:nvSpPr>
        <xdr:cNvPr id="32" name="Rectangle 31">
          <a:extLst>
            <a:ext uri="{FF2B5EF4-FFF2-40B4-BE49-F238E27FC236}">
              <a16:creationId xmlns:a16="http://schemas.microsoft.com/office/drawing/2014/main" id="{00000000-0008-0000-0200-000020000000}"/>
            </a:ext>
          </a:extLst>
        </xdr:cNvPr>
        <xdr:cNvSpPr/>
      </xdr:nvSpPr>
      <xdr:spPr>
        <a:xfrm>
          <a:off x="10031728" y="11951970"/>
          <a:ext cx="1692000" cy="255810"/>
        </a:xfrm>
        <a:prstGeom prst="rect">
          <a:avLst/>
        </a:prstGeom>
        <a:solidFill>
          <a:schemeClr val="tx2">
            <a:lumMod val="60000"/>
            <a:lumOff val="40000"/>
          </a:schemeClr>
        </a:solidFill>
        <a:ln>
          <a:solidFill>
            <a:schemeClr val="tx2">
              <a:lumMod val="60000"/>
              <a:lumOff val="40000"/>
            </a:schemeClr>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fr-FR" sz="1100" baseline="0"/>
            <a:t>Autre activité</a:t>
          </a:r>
        </a:p>
      </xdr:txBody>
    </xdr:sp>
    <xdr:clientData/>
  </xdr:twoCellAnchor>
  <xdr:twoCellAnchor editAs="absolute">
    <xdr:from>
      <xdr:col>1</xdr:col>
      <xdr:colOff>567690</xdr:colOff>
      <xdr:row>69</xdr:row>
      <xdr:rowOff>115436</xdr:rowOff>
    </xdr:from>
    <xdr:to>
      <xdr:col>4</xdr:col>
      <xdr:colOff>377530</xdr:colOff>
      <xdr:row>71</xdr:row>
      <xdr:rowOff>41486</xdr:rowOff>
    </xdr:to>
    <xdr:sp macro="" textlink="">
      <xdr:nvSpPr>
        <xdr:cNvPr id="33" name="Rectangle: Rounded Corners 32">
          <a:extLst>
            <a:ext uri="{FF2B5EF4-FFF2-40B4-BE49-F238E27FC236}">
              <a16:creationId xmlns:a16="http://schemas.microsoft.com/office/drawing/2014/main" id="{00000000-0008-0000-0200-000021000000}"/>
            </a:ext>
          </a:extLst>
        </xdr:cNvPr>
        <xdr:cNvSpPr/>
      </xdr:nvSpPr>
      <xdr:spPr>
        <a:xfrm>
          <a:off x="1183005" y="12650336"/>
          <a:ext cx="1696425" cy="288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OTEX</a:t>
          </a:r>
        </a:p>
      </xdr:txBody>
    </xdr:sp>
    <xdr:clientData/>
  </xdr:twoCellAnchor>
  <xdr:twoCellAnchor>
    <xdr:from>
      <xdr:col>1</xdr:col>
      <xdr:colOff>200025</xdr:colOff>
      <xdr:row>78</xdr:row>
      <xdr:rowOff>39781</xdr:rowOff>
    </xdr:from>
    <xdr:to>
      <xdr:col>6</xdr:col>
      <xdr:colOff>238125</xdr:colOff>
      <xdr:row>79</xdr:row>
      <xdr:rowOff>145756</xdr:rowOff>
    </xdr:to>
    <xdr:sp macro="" textlink="">
      <xdr:nvSpPr>
        <xdr:cNvPr id="41" name="Parallelogram 40">
          <a:extLst>
            <a:ext uri="{FF2B5EF4-FFF2-40B4-BE49-F238E27FC236}">
              <a16:creationId xmlns:a16="http://schemas.microsoft.com/office/drawing/2014/main" id="{00000000-0008-0000-0200-000029000000}"/>
            </a:ext>
          </a:extLst>
        </xdr:cNvPr>
        <xdr:cNvSpPr/>
      </xdr:nvSpPr>
      <xdr:spPr>
        <a:xfrm>
          <a:off x="805143" y="14585016"/>
          <a:ext cx="3063688" cy="307681"/>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Autres certifications de l'exploitation</a:t>
          </a:r>
        </a:p>
      </xdr:txBody>
    </xdr:sp>
    <xdr:clientData/>
  </xdr:twoCellAnchor>
  <xdr:twoCellAnchor>
    <xdr:from>
      <xdr:col>2</xdr:col>
      <xdr:colOff>91440</xdr:colOff>
      <xdr:row>81</xdr:row>
      <xdr:rowOff>135254</xdr:rowOff>
    </xdr:from>
    <xdr:to>
      <xdr:col>4</xdr:col>
      <xdr:colOff>515325</xdr:colOff>
      <xdr:row>83</xdr:row>
      <xdr:rowOff>61304</xdr:rowOff>
    </xdr:to>
    <xdr:sp macro="" textlink="">
      <xdr:nvSpPr>
        <xdr:cNvPr id="47" name="Rectangle: Rounded Corners 46">
          <a:extLst>
            <a:ext uri="{FF2B5EF4-FFF2-40B4-BE49-F238E27FC236}">
              <a16:creationId xmlns:a16="http://schemas.microsoft.com/office/drawing/2014/main" id="{00000000-0008-0000-0200-00002F000000}"/>
            </a:ext>
          </a:extLst>
        </xdr:cNvPr>
        <xdr:cNvSpPr/>
      </xdr:nvSpPr>
      <xdr:spPr>
        <a:xfrm>
          <a:off x="1348740" y="14860904"/>
          <a:ext cx="1681185" cy="288000"/>
        </a:xfrm>
        <a:prstGeom prst="roundRect">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t>Equivalence</a:t>
          </a:r>
          <a:r>
            <a:rPr lang="fr-FR" sz="1100"/>
            <a:t> Niveau 2</a:t>
          </a:r>
        </a:p>
      </xdr:txBody>
    </xdr:sp>
    <xdr:clientData/>
  </xdr:twoCellAnchor>
  <xdr:twoCellAnchor>
    <xdr:from>
      <xdr:col>8</xdr:col>
      <xdr:colOff>93345</xdr:colOff>
      <xdr:row>81</xdr:row>
      <xdr:rowOff>135255</xdr:rowOff>
    </xdr:from>
    <xdr:to>
      <xdr:col>10</xdr:col>
      <xdr:colOff>513420</xdr:colOff>
      <xdr:row>83</xdr:row>
      <xdr:rowOff>61305</xdr:rowOff>
    </xdr:to>
    <xdr:sp macro="" textlink="">
      <xdr:nvSpPr>
        <xdr:cNvPr id="48" name="Rectangle: Rounded Corners 47">
          <a:extLst>
            <a:ext uri="{FF2B5EF4-FFF2-40B4-BE49-F238E27FC236}">
              <a16:creationId xmlns:a16="http://schemas.microsoft.com/office/drawing/2014/main" id="{00000000-0008-0000-0200-000030000000}"/>
            </a:ext>
          </a:extLst>
        </xdr:cNvPr>
        <xdr:cNvSpPr/>
      </xdr:nvSpPr>
      <xdr:spPr>
        <a:xfrm>
          <a:off x="5122545" y="14860905"/>
          <a:ext cx="1677375" cy="288000"/>
        </a:xfrm>
        <a:prstGeom prst="roundRect">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Nom démarche</a:t>
          </a:r>
        </a:p>
      </xdr:txBody>
    </xdr:sp>
    <xdr:clientData/>
  </xdr:twoCellAnchor>
  <xdr:twoCellAnchor editAs="absolute">
    <xdr:from>
      <xdr:col>1</xdr:col>
      <xdr:colOff>567690</xdr:colOff>
      <xdr:row>73</xdr:row>
      <xdr:rowOff>3</xdr:rowOff>
    </xdr:from>
    <xdr:to>
      <xdr:col>4</xdr:col>
      <xdr:colOff>377529</xdr:colOff>
      <xdr:row>74</xdr:row>
      <xdr:rowOff>110838</xdr:rowOff>
    </xdr:to>
    <xdr:sp macro="" textlink="">
      <xdr:nvSpPr>
        <xdr:cNvPr id="53" name="Rectangle: Rounded Corners 52">
          <a:extLst>
            <a:ext uri="{FF2B5EF4-FFF2-40B4-BE49-F238E27FC236}">
              <a16:creationId xmlns:a16="http://schemas.microsoft.com/office/drawing/2014/main" id="{00000000-0008-0000-0200-000035000000}"/>
            </a:ext>
          </a:extLst>
        </xdr:cNvPr>
        <xdr:cNvSpPr/>
      </xdr:nvSpPr>
      <xdr:spPr>
        <a:xfrm>
          <a:off x="1183005" y="13249278"/>
          <a:ext cx="1696424" cy="288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Vente directe</a:t>
          </a:r>
        </a:p>
      </xdr:txBody>
    </xdr:sp>
    <xdr:clientData/>
  </xdr:twoCellAnchor>
  <xdr:twoCellAnchor>
    <xdr:from>
      <xdr:col>2</xdr:col>
      <xdr:colOff>537878</xdr:colOff>
      <xdr:row>1</xdr:row>
      <xdr:rowOff>161925</xdr:rowOff>
    </xdr:from>
    <xdr:to>
      <xdr:col>6</xdr:col>
      <xdr:colOff>113735</xdr:colOff>
      <xdr:row>3</xdr:row>
      <xdr:rowOff>86925</xdr:rowOff>
    </xdr:to>
    <xdr:sp macro="" textlink="">
      <xdr:nvSpPr>
        <xdr:cNvPr id="56" name="Parallelogram 55">
          <a:hlinkClick xmlns:r="http://schemas.openxmlformats.org/officeDocument/2006/relationships" r:id="rId3"/>
          <a:extLst>
            <a:ext uri="{FF2B5EF4-FFF2-40B4-BE49-F238E27FC236}">
              <a16:creationId xmlns:a16="http://schemas.microsoft.com/office/drawing/2014/main" id="{00000000-0008-0000-0200-000038000000}"/>
            </a:ext>
          </a:extLst>
        </xdr:cNvPr>
        <xdr:cNvSpPr/>
      </xdr:nvSpPr>
      <xdr:spPr>
        <a:xfrm>
          <a:off x="1748113" y="352425"/>
          <a:ext cx="1996328" cy="306000"/>
        </a:xfrm>
        <a:prstGeom prst="parallelogram">
          <a:avLst/>
        </a:prstGeom>
        <a:solidFill>
          <a:schemeClr val="tx2">
            <a:lumMod val="60000"/>
            <a:lumOff val="40000"/>
          </a:schemeClr>
        </a:solidFill>
        <a:ln>
          <a:solidFill>
            <a:schemeClr val="tx2">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fr-FR" sz="1100"/>
            <a:t>Contexte de l'audit</a:t>
          </a:r>
        </a:p>
      </xdr:txBody>
    </xdr:sp>
    <xdr:clientData/>
  </xdr:twoCellAnchor>
  <xdr:twoCellAnchor>
    <xdr:from>
      <xdr:col>6</xdr:col>
      <xdr:colOff>250260</xdr:colOff>
      <xdr:row>1</xdr:row>
      <xdr:rowOff>161925</xdr:rowOff>
    </xdr:from>
    <xdr:to>
      <xdr:col>11</xdr:col>
      <xdr:colOff>145485</xdr:colOff>
      <xdr:row>3</xdr:row>
      <xdr:rowOff>86925</xdr:rowOff>
    </xdr:to>
    <xdr:sp macro="" textlink="">
      <xdr:nvSpPr>
        <xdr:cNvPr id="57" name="Parallelogram 56">
          <a:hlinkClick xmlns:r="http://schemas.openxmlformats.org/officeDocument/2006/relationships" r:id="rId4"/>
          <a:extLst>
            <a:ext uri="{FF2B5EF4-FFF2-40B4-BE49-F238E27FC236}">
              <a16:creationId xmlns:a16="http://schemas.microsoft.com/office/drawing/2014/main" id="{00000000-0008-0000-0200-000039000000}"/>
            </a:ext>
          </a:extLst>
        </xdr:cNvPr>
        <xdr:cNvSpPr/>
      </xdr:nvSpPr>
      <xdr:spPr>
        <a:xfrm>
          <a:off x="3880966" y="352425"/>
          <a:ext cx="2920813" cy="306000"/>
        </a:xfrm>
        <a:prstGeom prst="parallelogram">
          <a:avLst/>
        </a:prstGeom>
        <a:solidFill>
          <a:schemeClr val="tx2">
            <a:lumMod val="60000"/>
            <a:lumOff val="40000"/>
          </a:schemeClr>
        </a:solidFill>
        <a:ln>
          <a:solidFill>
            <a:schemeClr val="tx2">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fr-FR" sz="1100"/>
            <a:t>Identification de l'exploitation auditée</a:t>
          </a:r>
        </a:p>
      </xdr:txBody>
    </xdr:sp>
    <xdr:clientData/>
  </xdr:twoCellAnchor>
  <xdr:twoCellAnchor>
    <xdr:from>
      <xdr:col>11</xdr:col>
      <xdr:colOff>282010</xdr:colOff>
      <xdr:row>1</xdr:row>
      <xdr:rowOff>161925</xdr:rowOff>
    </xdr:from>
    <xdr:to>
      <xdr:col>15</xdr:col>
      <xdr:colOff>262960</xdr:colOff>
      <xdr:row>3</xdr:row>
      <xdr:rowOff>86925</xdr:rowOff>
    </xdr:to>
    <xdr:sp macro="" textlink="">
      <xdr:nvSpPr>
        <xdr:cNvPr id="58" name="Parallelogram 57">
          <a:hlinkClick xmlns:r="http://schemas.openxmlformats.org/officeDocument/2006/relationships" r:id="rId5"/>
          <a:extLst>
            <a:ext uri="{FF2B5EF4-FFF2-40B4-BE49-F238E27FC236}">
              <a16:creationId xmlns:a16="http://schemas.microsoft.com/office/drawing/2014/main" id="{00000000-0008-0000-0200-00003A000000}"/>
            </a:ext>
          </a:extLst>
        </xdr:cNvPr>
        <xdr:cNvSpPr/>
      </xdr:nvSpPr>
      <xdr:spPr>
        <a:xfrm>
          <a:off x="6938304" y="352425"/>
          <a:ext cx="2401421" cy="306000"/>
        </a:xfrm>
        <a:prstGeom prst="parallelogram">
          <a:avLst/>
        </a:prstGeom>
        <a:solidFill>
          <a:schemeClr val="tx2">
            <a:lumMod val="60000"/>
            <a:lumOff val="40000"/>
          </a:schemeClr>
        </a:solidFill>
        <a:ln>
          <a:solidFill>
            <a:schemeClr val="tx2">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fr-FR" sz="1100"/>
            <a:t>Caractéristiques générales </a:t>
          </a:r>
        </a:p>
      </xdr:txBody>
    </xdr:sp>
    <xdr:clientData/>
  </xdr:twoCellAnchor>
  <xdr:twoCellAnchor>
    <xdr:from>
      <xdr:col>15</xdr:col>
      <xdr:colOff>399485</xdr:colOff>
      <xdr:row>1</xdr:row>
      <xdr:rowOff>161925</xdr:rowOff>
    </xdr:from>
    <xdr:to>
      <xdr:col>20</xdr:col>
      <xdr:colOff>437585</xdr:colOff>
      <xdr:row>3</xdr:row>
      <xdr:rowOff>86925</xdr:rowOff>
    </xdr:to>
    <xdr:sp macro="" textlink="">
      <xdr:nvSpPr>
        <xdr:cNvPr id="59" name="Parallelogram 58">
          <a:hlinkClick xmlns:r="http://schemas.openxmlformats.org/officeDocument/2006/relationships" r:id="rId6"/>
          <a:extLst>
            <a:ext uri="{FF2B5EF4-FFF2-40B4-BE49-F238E27FC236}">
              <a16:creationId xmlns:a16="http://schemas.microsoft.com/office/drawing/2014/main" id="{00000000-0008-0000-0200-00003B000000}"/>
            </a:ext>
          </a:extLst>
        </xdr:cNvPr>
        <xdr:cNvSpPr/>
      </xdr:nvSpPr>
      <xdr:spPr>
        <a:xfrm>
          <a:off x="9476250" y="352425"/>
          <a:ext cx="3063688" cy="306000"/>
        </a:xfrm>
        <a:prstGeom prst="parallelogram">
          <a:avLst/>
        </a:prstGeom>
        <a:solidFill>
          <a:schemeClr val="tx2">
            <a:lumMod val="60000"/>
            <a:lumOff val="40000"/>
          </a:schemeClr>
        </a:solidFill>
        <a:ln>
          <a:solidFill>
            <a:schemeClr val="tx2">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fr-FR" sz="1100"/>
            <a:t>Autres certifications de l'exploitation</a:t>
          </a:r>
        </a:p>
      </xdr:txBody>
    </xdr:sp>
    <xdr:clientData/>
  </xdr:twoCellAnchor>
  <xdr:twoCellAnchor editAs="absolute">
    <xdr:from>
      <xdr:col>1</xdr:col>
      <xdr:colOff>415885</xdr:colOff>
      <xdr:row>25</xdr:row>
      <xdr:rowOff>149077</xdr:rowOff>
    </xdr:from>
    <xdr:to>
      <xdr:col>4</xdr:col>
      <xdr:colOff>230625</xdr:colOff>
      <xdr:row>27</xdr:row>
      <xdr:rowOff>73222</xdr:rowOff>
    </xdr:to>
    <xdr:sp macro="" textlink="">
      <xdr:nvSpPr>
        <xdr:cNvPr id="60" name="Rectangle: Rounded Corners 59">
          <a:extLst>
            <a:ext uri="{FF2B5EF4-FFF2-40B4-BE49-F238E27FC236}">
              <a16:creationId xmlns:a16="http://schemas.microsoft.com/office/drawing/2014/main" id="{00000000-0008-0000-0200-00003C000000}"/>
            </a:ext>
          </a:extLst>
        </xdr:cNvPr>
        <xdr:cNvSpPr/>
      </xdr:nvSpPr>
      <xdr:spPr>
        <a:xfrm>
          <a:off x="1028025" y="4668372"/>
          <a:ext cx="1717200" cy="288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Durée de l'audit</a:t>
          </a:r>
        </a:p>
      </xdr:txBody>
    </xdr:sp>
    <xdr:clientData/>
  </xdr:twoCellAnchor>
  <xdr:twoCellAnchor>
    <xdr:from>
      <xdr:col>14</xdr:col>
      <xdr:colOff>112060</xdr:colOff>
      <xdr:row>40</xdr:row>
      <xdr:rowOff>155201</xdr:rowOff>
    </xdr:from>
    <xdr:to>
      <xdr:col>16</xdr:col>
      <xdr:colOff>537178</xdr:colOff>
      <xdr:row>42</xdr:row>
      <xdr:rowOff>56486</xdr:rowOff>
    </xdr:to>
    <xdr:sp macro="" textlink="">
      <xdr:nvSpPr>
        <xdr:cNvPr id="63" name="Rectangle: Rounded Corners 62">
          <a:extLst>
            <a:ext uri="{FF2B5EF4-FFF2-40B4-BE49-F238E27FC236}">
              <a16:creationId xmlns:a16="http://schemas.microsoft.com/office/drawing/2014/main" id="{00000000-0008-0000-0200-00003F000000}"/>
            </a:ext>
          </a:extLst>
        </xdr:cNvPr>
        <xdr:cNvSpPr/>
      </xdr:nvSpPr>
      <xdr:spPr>
        <a:xfrm>
          <a:off x="8913160" y="7422776"/>
          <a:ext cx="1682418" cy="26323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Département</a:t>
          </a:r>
        </a:p>
      </xdr:txBody>
    </xdr:sp>
    <xdr:clientData/>
  </xdr:twoCellAnchor>
  <xdr:twoCellAnchor>
    <xdr:from>
      <xdr:col>14</xdr:col>
      <xdr:colOff>112060</xdr:colOff>
      <xdr:row>42</xdr:row>
      <xdr:rowOff>162821</xdr:rowOff>
    </xdr:from>
    <xdr:to>
      <xdr:col>16</xdr:col>
      <xdr:colOff>537178</xdr:colOff>
      <xdr:row>44</xdr:row>
      <xdr:rowOff>45056</xdr:rowOff>
    </xdr:to>
    <xdr:sp macro="" textlink="">
      <xdr:nvSpPr>
        <xdr:cNvPr id="64" name="Rectangle: Rounded Corners 63">
          <a:extLst>
            <a:ext uri="{FF2B5EF4-FFF2-40B4-BE49-F238E27FC236}">
              <a16:creationId xmlns:a16="http://schemas.microsoft.com/office/drawing/2014/main" id="{00000000-0008-0000-0200-000040000000}"/>
            </a:ext>
          </a:extLst>
        </xdr:cNvPr>
        <xdr:cNvSpPr/>
      </xdr:nvSpPr>
      <xdr:spPr>
        <a:xfrm>
          <a:off x="8913160" y="7792346"/>
          <a:ext cx="1682418" cy="24418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Région</a:t>
          </a:r>
        </a:p>
      </xdr:txBody>
    </xdr:sp>
    <xdr:clientData/>
  </xdr:twoCellAnchor>
  <xdr:twoCellAnchor editAs="absolute">
    <xdr:from>
      <xdr:col>1</xdr:col>
      <xdr:colOff>416559</xdr:colOff>
      <xdr:row>23</xdr:row>
      <xdr:rowOff>148967</xdr:rowOff>
    </xdr:from>
    <xdr:to>
      <xdr:col>4</xdr:col>
      <xdr:colOff>231299</xdr:colOff>
      <xdr:row>25</xdr:row>
      <xdr:rowOff>73112</xdr:rowOff>
    </xdr:to>
    <xdr:sp macro="" textlink="">
      <xdr:nvSpPr>
        <xdr:cNvPr id="16" name="Rectangle: Rounded Corners 15">
          <a:extLst>
            <a:ext uri="{FF2B5EF4-FFF2-40B4-BE49-F238E27FC236}">
              <a16:creationId xmlns:a16="http://schemas.microsoft.com/office/drawing/2014/main" id="{00000000-0008-0000-0200-000010000000}"/>
            </a:ext>
          </a:extLst>
        </xdr:cNvPr>
        <xdr:cNvSpPr/>
      </xdr:nvSpPr>
      <xdr:spPr>
        <a:xfrm>
          <a:off x="1028699" y="4301867"/>
          <a:ext cx="1717200" cy="288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Campagne évaluée</a:t>
          </a:r>
        </a:p>
      </xdr:txBody>
    </xdr:sp>
    <xdr:clientData/>
  </xdr:twoCellAnchor>
  <xdr:twoCellAnchor>
    <xdr:from>
      <xdr:col>1</xdr:col>
      <xdr:colOff>403859</xdr:colOff>
      <xdr:row>38</xdr:row>
      <xdr:rowOff>130661</xdr:rowOff>
    </xdr:from>
    <xdr:to>
      <xdr:col>4</xdr:col>
      <xdr:colOff>229574</xdr:colOff>
      <xdr:row>40</xdr:row>
      <xdr:rowOff>56711</xdr:rowOff>
    </xdr:to>
    <xdr:sp macro="" textlink="">
      <xdr:nvSpPr>
        <xdr:cNvPr id="17" name="Rectangle: Rounded Corners 16">
          <a:extLst>
            <a:ext uri="{FF2B5EF4-FFF2-40B4-BE49-F238E27FC236}">
              <a16:creationId xmlns:a16="http://schemas.microsoft.com/office/drawing/2014/main" id="{00000000-0008-0000-0200-000011000000}"/>
            </a:ext>
          </a:extLst>
        </xdr:cNvPr>
        <xdr:cNvSpPr/>
      </xdr:nvSpPr>
      <xdr:spPr>
        <a:xfrm>
          <a:off x="1032509" y="7036286"/>
          <a:ext cx="1711665" cy="288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CVI</a:t>
          </a:r>
        </a:p>
      </xdr:txBody>
    </xdr:sp>
    <xdr:clientData/>
  </xdr:twoCellAnchor>
  <xdr:twoCellAnchor>
    <xdr:from>
      <xdr:col>1</xdr:col>
      <xdr:colOff>212912</xdr:colOff>
      <xdr:row>95</xdr:row>
      <xdr:rowOff>44824</xdr:rowOff>
    </xdr:from>
    <xdr:to>
      <xdr:col>6</xdr:col>
      <xdr:colOff>448235</xdr:colOff>
      <xdr:row>96</xdr:row>
      <xdr:rowOff>162005</xdr:rowOff>
    </xdr:to>
    <xdr:sp macro="" textlink="">
      <xdr:nvSpPr>
        <xdr:cNvPr id="49" name="Parallelogram 48">
          <a:extLst>
            <a:ext uri="{FF2B5EF4-FFF2-40B4-BE49-F238E27FC236}">
              <a16:creationId xmlns:a16="http://schemas.microsoft.com/office/drawing/2014/main" id="{00000000-0008-0000-0200-000031000000}"/>
            </a:ext>
          </a:extLst>
        </xdr:cNvPr>
        <xdr:cNvSpPr/>
      </xdr:nvSpPr>
      <xdr:spPr>
        <a:xfrm>
          <a:off x="818030" y="19374971"/>
          <a:ext cx="3260911" cy="318887"/>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Observations</a:t>
          </a:r>
          <a:r>
            <a:rPr lang="fr-FR" sz="1100" baseline="0"/>
            <a:t> générales sur l'exploitation</a:t>
          </a:r>
          <a:endParaRPr lang="fr-FR" sz="1100"/>
        </a:p>
      </xdr:txBody>
    </xdr:sp>
    <xdr:clientData/>
  </xdr:twoCellAnchor>
  <xdr:twoCellAnchor>
    <xdr:from>
      <xdr:col>21</xdr:col>
      <xdr:colOff>0</xdr:colOff>
      <xdr:row>1</xdr:row>
      <xdr:rowOff>161925</xdr:rowOff>
    </xdr:from>
    <xdr:to>
      <xdr:col>24</xdr:col>
      <xdr:colOff>586068</xdr:colOff>
      <xdr:row>3</xdr:row>
      <xdr:rowOff>86925</xdr:rowOff>
    </xdr:to>
    <xdr:sp macro="" textlink="">
      <xdr:nvSpPr>
        <xdr:cNvPr id="66" name="Parallelogram 65">
          <a:hlinkClick xmlns:r="http://schemas.openxmlformats.org/officeDocument/2006/relationships" r:id="rId7"/>
          <a:extLst>
            <a:ext uri="{FF2B5EF4-FFF2-40B4-BE49-F238E27FC236}">
              <a16:creationId xmlns:a16="http://schemas.microsoft.com/office/drawing/2014/main" id="{00000000-0008-0000-0200-000042000000}"/>
            </a:ext>
          </a:extLst>
        </xdr:cNvPr>
        <xdr:cNvSpPr/>
      </xdr:nvSpPr>
      <xdr:spPr>
        <a:xfrm>
          <a:off x="12707471" y="352425"/>
          <a:ext cx="2401421" cy="306000"/>
        </a:xfrm>
        <a:prstGeom prst="parallelogram">
          <a:avLst/>
        </a:prstGeom>
        <a:solidFill>
          <a:schemeClr val="tx2">
            <a:lumMod val="60000"/>
            <a:lumOff val="40000"/>
          </a:schemeClr>
        </a:solidFill>
        <a:ln>
          <a:solidFill>
            <a:schemeClr val="tx2">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fr-FR" sz="1100"/>
            <a:t>Observations</a:t>
          </a:r>
        </a:p>
      </xdr:txBody>
    </xdr:sp>
    <xdr:clientData/>
  </xdr:twoCellAnchor>
  <xdr:twoCellAnchor editAs="absolute">
    <xdr:from>
      <xdr:col>1</xdr:col>
      <xdr:colOff>416559</xdr:colOff>
      <xdr:row>10</xdr:row>
      <xdr:rowOff>153147</xdr:rowOff>
    </xdr:from>
    <xdr:to>
      <xdr:col>4</xdr:col>
      <xdr:colOff>263684</xdr:colOff>
      <xdr:row>12</xdr:row>
      <xdr:rowOff>79197</xdr:rowOff>
    </xdr:to>
    <xdr:sp macro="" textlink="">
      <xdr:nvSpPr>
        <xdr:cNvPr id="67" name="Rectangle: Rounded Corners 66">
          <a:extLst>
            <a:ext uri="{FF2B5EF4-FFF2-40B4-BE49-F238E27FC236}">
              <a16:creationId xmlns:a16="http://schemas.microsoft.com/office/drawing/2014/main" id="{00000000-0008-0000-0200-000043000000}"/>
            </a:ext>
          </a:extLst>
        </xdr:cNvPr>
        <xdr:cNvSpPr/>
      </xdr:nvSpPr>
      <xdr:spPr>
        <a:xfrm>
          <a:off x="1032509" y="1972422"/>
          <a:ext cx="1717200" cy="288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Cadre de la certification</a:t>
          </a:r>
        </a:p>
      </xdr:txBody>
    </xdr:sp>
    <xdr:clientData/>
  </xdr:twoCellAnchor>
  <xdr:twoCellAnchor>
    <xdr:from>
      <xdr:col>14</xdr:col>
      <xdr:colOff>112060</xdr:colOff>
      <xdr:row>20</xdr:row>
      <xdr:rowOff>124946</xdr:rowOff>
    </xdr:from>
    <xdr:to>
      <xdr:col>16</xdr:col>
      <xdr:colOff>541660</xdr:colOff>
      <xdr:row>22</xdr:row>
      <xdr:rowOff>48746</xdr:rowOff>
    </xdr:to>
    <xdr:sp macro="" textlink="">
      <xdr:nvSpPr>
        <xdr:cNvPr id="70" name="Rectangle 69">
          <a:extLst>
            <a:ext uri="{FF2B5EF4-FFF2-40B4-BE49-F238E27FC236}">
              <a16:creationId xmlns:a16="http://schemas.microsoft.com/office/drawing/2014/main" id="{00000000-0008-0000-0200-000046000000}"/>
            </a:ext>
          </a:extLst>
        </xdr:cNvPr>
        <xdr:cNvSpPr/>
      </xdr:nvSpPr>
      <xdr:spPr>
        <a:xfrm>
          <a:off x="8583707" y="3565152"/>
          <a:ext cx="1639835" cy="304800"/>
        </a:xfrm>
        <a:prstGeom prst="rect">
          <a:avLst/>
        </a:prstGeom>
        <a:solidFill>
          <a:schemeClr val="accent2">
            <a:lumMod val="40000"/>
            <a:lumOff val="60000"/>
          </a:schemeClr>
        </a:solidFill>
        <a:ln>
          <a:solidFill>
            <a:schemeClr val="tx2">
              <a:lumMod val="60000"/>
              <a:lumOff val="40000"/>
            </a:schemeClr>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fr-FR" sz="1100">
              <a:solidFill>
                <a:sysClr val="windowText" lastClr="000000"/>
              </a:solidFill>
            </a:rPr>
            <a:t>Adresse complément</a:t>
          </a:r>
        </a:p>
      </xdr:txBody>
    </xdr:sp>
    <xdr:clientData/>
  </xdr:twoCellAnchor>
  <xdr:twoCellAnchor>
    <xdr:from>
      <xdr:col>14</xdr:col>
      <xdr:colOff>112060</xdr:colOff>
      <xdr:row>22</xdr:row>
      <xdr:rowOff>124106</xdr:rowOff>
    </xdr:from>
    <xdr:to>
      <xdr:col>16</xdr:col>
      <xdr:colOff>543565</xdr:colOff>
      <xdr:row>24</xdr:row>
      <xdr:rowOff>47906</xdr:rowOff>
    </xdr:to>
    <xdr:sp macro="" textlink="">
      <xdr:nvSpPr>
        <xdr:cNvPr id="71" name="Rectangle 70">
          <a:extLst>
            <a:ext uri="{FF2B5EF4-FFF2-40B4-BE49-F238E27FC236}">
              <a16:creationId xmlns:a16="http://schemas.microsoft.com/office/drawing/2014/main" id="{00000000-0008-0000-0200-000047000000}"/>
            </a:ext>
          </a:extLst>
        </xdr:cNvPr>
        <xdr:cNvSpPr/>
      </xdr:nvSpPr>
      <xdr:spPr>
        <a:xfrm>
          <a:off x="8913160" y="4115081"/>
          <a:ext cx="1688805" cy="285750"/>
        </a:xfrm>
        <a:prstGeom prst="rect">
          <a:avLst/>
        </a:prstGeom>
        <a:solidFill>
          <a:schemeClr val="accent2">
            <a:lumMod val="40000"/>
            <a:lumOff val="60000"/>
          </a:schemeClr>
        </a:solidFill>
        <a:ln>
          <a:solidFill>
            <a:schemeClr val="tx2">
              <a:lumMod val="60000"/>
              <a:lumOff val="40000"/>
            </a:schemeClr>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fr-FR" sz="1100">
              <a:solidFill>
                <a:sysClr val="windowText" lastClr="000000"/>
              </a:solidFill>
            </a:rPr>
            <a:t>Code postal</a:t>
          </a:r>
        </a:p>
      </xdr:txBody>
    </xdr:sp>
    <xdr:clientData/>
  </xdr:twoCellAnchor>
  <xdr:twoCellAnchor>
    <xdr:from>
      <xdr:col>14</xdr:col>
      <xdr:colOff>112060</xdr:colOff>
      <xdr:row>24</xdr:row>
      <xdr:rowOff>121360</xdr:rowOff>
    </xdr:from>
    <xdr:to>
      <xdr:col>16</xdr:col>
      <xdr:colOff>545470</xdr:colOff>
      <xdr:row>26</xdr:row>
      <xdr:rowOff>45160</xdr:rowOff>
    </xdr:to>
    <xdr:sp macro="" textlink="">
      <xdr:nvSpPr>
        <xdr:cNvPr id="72" name="Rectangle 71">
          <a:extLst>
            <a:ext uri="{FF2B5EF4-FFF2-40B4-BE49-F238E27FC236}">
              <a16:creationId xmlns:a16="http://schemas.microsoft.com/office/drawing/2014/main" id="{00000000-0008-0000-0200-000048000000}"/>
            </a:ext>
          </a:extLst>
        </xdr:cNvPr>
        <xdr:cNvSpPr/>
      </xdr:nvSpPr>
      <xdr:spPr>
        <a:xfrm>
          <a:off x="8913160" y="4474285"/>
          <a:ext cx="1690710" cy="285750"/>
        </a:xfrm>
        <a:prstGeom prst="rect">
          <a:avLst/>
        </a:prstGeom>
        <a:solidFill>
          <a:schemeClr val="accent2">
            <a:lumMod val="40000"/>
            <a:lumOff val="60000"/>
          </a:schemeClr>
        </a:solidFill>
        <a:ln>
          <a:solidFill>
            <a:schemeClr val="tx2">
              <a:lumMod val="60000"/>
              <a:lumOff val="40000"/>
            </a:schemeClr>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fr-FR" sz="1100">
              <a:solidFill>
                <a:sysClr val="windowText" lastClr="000000"/>
              </a:solidFill>
            </a:rPr>
            <a:t>Commune</a:t>
          </a:r>
        </a:p>
      </xdr:txBody>
    </xdr:sp>
    <xdr:clientData/>
  </xdr:twoCellAnchor>
  <xdr:twoCellAnchor>
    <xdr:from>
      <xdr:col>14</xdr:col>
      <xdr:colOff>112060</xdr:colOff>
      <xdr:row>18</xdr:row>
      <xdr:rowOff>135311</xdr:rowOff>
    </xdr:from>
    <xdr:to>
      <xdr:col>16</xdr:col>
      <xdr:colOff>541660</xdr:colOff>
      <xdr:row>20</xdr:row>
      <xdr:rowOff>59111</xdr:rowOff>
    </xdr:to>
    <xdr:sp macro="" textlink="">
      <xdr:nvSpPr>
        <xdr:cNvPr id="73" name="Rectangle 72">
          <a:extLst>
            <a:ext uri="{FF2B5EF4-FFF2-40B4-BE49-F238E27FC236}">
              <a16:creationId xmlns:a16="http://schemas.microsoft.com/office/drawing/2014/main" id="{00000000-0008-0000-0200-000049000000}"/>
            </a:ext>
          </a:extLst>
        </xdr:cNvPr>
        <xdr:cNvSpPr/>
      </xdr:nvSpPr>
      <xdr:spPr>
        <a:xfrm>
          <a:off x="8583707" y="3194517"/>
          <a:ext cx="1639835" cy="304800"/>
        </a:xfrm>
        <a:prstGeom prst="rect">
          <a:avLst/>
        </a:prstGeom>
        <a:solidFill>
          <a:schemeClr val="accent2">
            <a:lumMod val="40000"/>
            <a:lumOff val="60000"/>
          </a:schemeClr>
        </a:solidFill>
        <a:ln>
          <a:solidFill>
            <a:schemeClr val="tx2">
              <a:lumMod val="60000"/>
              <a:lumOff val="40000"/>
            </a:schemeClr>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fr-FR" sz="1100">
              <a:solidFill>
                <a:sysClr val="windowText" lastClr="000000"/>
              </a:solidFill>
            </a:rPr>
            <a:t>Adresse</a:t>
          </a:r>
        </a:p>
      </xdr:txBody>
    </xdr:sp>
    <xdr:clientData/>
  </xdr:twoCellAnchor>
  <xdr:twoCellAnchor>
    <xdr:from>
      <xdr:col>14</xdr:col>
      <xdr:colOff>112060</xdr:colOff>
      <xdr:row>16</xdr:row>
      <xdr:rowOff>145676</xdr:rowOff>
    </xdr:from>
    <xdr:to>
      <xdr:col>16</xdr:col>
      <xdr:colOff>541660</xdr:colOff>
      <xdr:row>18</xdr:row>
      <xdr:rowOff>69476</xdr:rowOff>
    </xdr:to>
    <xdr:sp macro="" textlink="">
      <xdr:nvSpPr>
        <xdr:cNvPr id="74" name="Rectangle 73">
          <a:extLst>
            <a:ext uri="{FF2B5EF4-FFF2-40B4-BE49-F238E27FC236}">
              <a16:creationId xmlns:a16="http://schemas.microsoft.com/office/drawing/2014/main" id="{00000000-0008-0000-0200-00004A000000}"/>
            </a:ext>
          </a:extLst>
        </xdr:cNvPr>
        <xdr:cNvSpPr/>
      </xdr:nvSpPr>
      <xdr:spPr>
        <a:xfrm>
          <a:off x="8583707" y="2823882"/>
          <a:ext cx="1639835" cy="304800"/>
        </a:xfrm>
        <a:prstGeom prst="rect">
          <a:avLst/>
        </a:prstGeom>
        <a:solidFill>
          <a:schemeClr val="accent2">
            <a:lumMod val="40000"/>
            <a:lumOff val="60000"/>
          </a:schemeClr>
        </a:solidFill>
        <a:ln>
          <a:solidFill>
            <a:schemeClr val="tx2">
              <a:lumMod val="60000"/>
              <a:lumOff val="40000"/>
            </a:schemeClr>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fr-FR" sz="1100">
              <a:solidFill>
                <a:sysClr val="windowText" lastClr="000000"/>
              </a:solidFill>
            </a:rPr>
            <a:t>Nom</a:t>
          </a:r>
        </a:p>
      </xdr:txBody>
    </xdr:sp>
    <xdr:clientData/>
  </xdr:twoCellAnchor>
  <xdr:twoCellAnchor>
    <xdr:from>
      <xdr:col>14</xdr:col>
      <xdr:colOff>114077</xdr:colOff>
      <xdr:row>14</xdr:row>
      <xdr:rowOff>143547</xdr:rowOff>
    </xdr:from>
    <xdr:to>
      <xdr:col>16</xdr:col>
      <xdr:colOff>545582</xdr:colOff>
      <xdr:row>16</xdr:row>
      <xdr:rowOff>67347</xdr:rowOff>
    </xdr:to>
    <xdr:sp macro="" textlink="">
      <xdr:nvSpPr>
        <xdr:cNvPr id="18" name="Rectangle 17">
          <a:extLst>
            <a:ext uri="{FF2B5EF4-FFF2-40B4-BE49-F238E27FC236}">
              <a16:creationId xmlns:a16="http://schemas.microsoft.com/office/drawing/2014/main" id="{8DC9F6F5-B84C-4FB5-9B27-BBF4B087DE14}"/>
            </a:ext>
          </a:extLst>
        </xdr:cNvPr>
        <xdr:cNvSpPr/>
      </xdr:nvSpPr>
      <xdr:spPr>
        <a:xfrm>
          <a:off x="8915177" y="2324772"/>
          <a:ext cx="1688805" cy="285750"/>
        </a:xfrm>
        <a:prstGeom prst="rect">
          <a:avLst/>
        </a:prstGeom>
        <a:solidFill>
          <a:schemeClr val="accent2">
            <a:lumMod val="40000"/>
            <a:lumOff val="60000"/>
          </a:schemeClr>
        </a:solidFill>
        <a:ln>
          <a:solidFill>
            <a:schemeClr val="tx2">
              <a:lumMod val="60000"/>
              <a:lumOff val="40000"/>
            </a:schemeClr>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fr-FR" sz="1100">
              <a:solidFill>
                <a:sysClr val="windowText" lastClr="000000"/>
              </a:solidFill>
            </a:rPr>
            <a:t>SIRET</a:t>
          </a:r>
        </a:p>
      </xdr:txBody>
    </xdr:sp>
    <xdr:clientData/>
  </xdr:twoCellAnchor>
  <xdr:twoCellAnchor>
    <xdr:from>
      <xdr:col>14</xdr:col>
      <xdr:colOff>114077</xdr:colOff>
      <xdr:row>10</xdr:row>
      <xdr:rowOff>139737</xdr:rowOff>
    </xdr:from>
    <xdr:to>
      <xdr:col>16</xdr:col>
      <xdr:colOff>553202</xdr:colOff>
      <xdr:row>12</xdr:row>
      <xdr:rowOff>62187</xdr:rowOff>
    </xdr:to>
    <xdr:sp macro="" textlink="">
      <xdr:nvSpPr>
        <xdr:cNvPr id="35" name="Rectangle 34">
          <a:extLst>
            <a:ext uri="{FF2B5EF4-FFF2-40B4-BE49-F238E27FC236}">
              <a16:creationId xmlns:a16="http://schemas.microsoft.com/office/drawing/2014/main" id="{8985E58F-5794-4F9F-88F7-0E735B9F4C6E}"/>
            </a:ext>
          </a:extLst>
        </xdr:cNvPr>
        <xdr:cNvSpPr/>
      </xdr:nvSpPr>
      <xdr:spPr>
        <a:xfrm>
          <a:off x="8915177" y="1959012"/>
          <a:ext cx="1696425" cy="284400"/>
        </a:xfrm>
        <a:prstGeom prst="rect">
          <a:avLst/>
        </a:prstGeom>
        <a:solidFill>
          <a:schemeClr val="accent2">
            <a:lumMod val="40000"/>
            <a:lumOff val="60000"/>
          </a:schemeClr>
        </a:solidFill>
        <a:ln>
          <a:solidFill>
            <a:schemeClr val="tx2">
              <a:lumMod val="60000"/>
              <a:lumOff val="40000"/>
            </a:schemeClr>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fr-FR" sz="1100">
              <a:solidFill>
                <a:sysClr val="windowText" lastClr="000000"/>
              </a:solidFill>
            </a:rPr>
            <a:t>Nature</a:t>
          </a:r>
          <a:r>
            <a:rPr lang="fr-FR" sz="1100" baseline="0">
              <a:solidFill>
                <a:sysClr val="windowText" lastClr="000000"/>
              </a:solidFill>
            </a:rPr>
            <a:t> de l'audit</a:t>
          </a:r>
          <a:endParaRPr lang="fr-FR" sz="1100">
            <a:solidFill>
              <a:sysClr val="windowText" lastClr="000000"/>
            </a:solidFill>
          </a:endParaRPr>
        </a:p>
      </xdr:txBody>
    </xdr:sp>
    <xdr:clientData/>
  </xdr:twoCellAnchor>
  <xdr:twoCellAnchor>
    <xdr:from>
      <xdr:col>14</xdr:col>
      <xdr:colOff>114077</xdr:colOff>
      <xdr:row>12</xdr:row>
      <xdr:rowOff>143547</xdr:rowOff>
    </xdr:from>
    <xdr:to>
      <xdr:col>16</xdr:col>
      <xdr:colOff>549392</xdr:colOff>
      <xdr:row>14</xdr:row>
      <xdr:rowOff>67347</xdr:rowOff>
    </xdr:to>
    <xdr:sp macro="" textlink="">
      <xdr:nvSpPr>
        <xdr:cNvPr id="34" name="Rectangle 33">
          <a:extLst>
            <a:ext uri="{FF2B5EF4-FFF2-40B4-BE49-F238E27FC236}">
              <a16:creationId xmlns:a16="http://schemas.microsoft.com/office/drawing/2014/main" id="{41840FA6-A47B-4B0B-A710-71225067926D}"/>
            </a:ext>
          </a:extLst>
        </xdr:cNvPr>
        <xdr:cNvSpPr/>
      </xdr:nvSpPr>
      <xdr:spPr>
        <a:xfrm>
          <a:off x="8915177" y="2324772"/>
          <a:ext cx="1692615" cy="285750"/>
        </a:xfrm>
        <a:prstGeom prst="rect">
          <a:avLst/>
        </a:prstGeom>
        <a:solidFill>
          <a:schemeClr val="accent2">
            <a:lumMod val="40000"/>
            <a:lumOff val="60000"/>
          </a:schemeClr>
        </a:solidFill>
        <a:ln>
          <a:solidFill>
            <a:schemeClr val="tx2">
              <a:lumMod val="60000"/>
              <a:lumOff val="40000"/>
            </a:schemeClr>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fr-FR" sz="1100">
              <a:solidFill>
                <a:sysClr val="windowText" lastClr="000000"/>
              </a:solidFill>
            </a:rPr>
            <a:t>Localisation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219075</xdr:colOff>
      <xdr:row>18</xdr:row>
      <xdr:rowOff>45944</xdr:rowOff>
    </xdr:from>
    <xdr:to>
      <xdr:col>5</xdr:col>
      <xdr:colOff>600075</xdr:colOff>
      <xdr:row>19</xdr:row>
      <xdr:rowOff>161444</xdr:rowOff>
    </xdr:to>
    <xdr:sp macro="" textlink="">
      <xdr:nvSpPr>
        <xdr:cNvPr id="3" name="Parallelogram 2">
          <a:extLst>
            <a:ext uri="{FF2B5EF4-FFF2-40B4-BE49-F238E27FC236}">
              <a16:creationId xmlns:a16="http://schemas.microsoft.com/office/drawing/2014/main" id="{00000000-0008-0000-0300-000003000000}"/>
            </a:ext>
          </a:extLst>
        </xdr:cNvPr>
        <xdr:cNvSpPr/>
      </xdr:nvSpPr>
      <xdr:spPr>
        <a:xfrm>
          <a:off x="824193" y="3306856"/>
          <a:ext cx="2801470" cy="31720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Surface de l'exploitation</a:t>
          </a:r>
        </a:p>
      </xdr:txBody>
    </xdr:sp>
    <xdr:clientData/>
  </xdr:twoCellAnchor>
  <xdr:twoCellAnchor>
    <xdr:from>
      <xdr:col>3</xdr:col>
      <xdr:colOff>90764</xdr:colOff>
      <xdr:row>1</xdr:row>
      <xdr:rowOff>114300</xdr:rowOff>
    </xdr:from>
    <xdr:to>
      <xdr:col>6</xdr:col>
      <xdr:colOff>347939</xdr:colOff>
      <xdr:row>3</xdr:row>
      <xdr:rowOff>48825</xdr:rowOff>
    </xdr:to>
    <xdr:sp macro="" textlink="">
      <xdr:nvSpPr>
        <xdr:cNvPr id="4" name="Parallelogram 3">
          <a:hlinkClick xmlns:r="http://schemas.openxmlformats.org/officeDocument/2006/relationships" r:id="rId1"/>
          <a:extLst>
            <a:ext uri="{FF2B5EF4-FFF2-40B4-BE49-F238E27FC236}">
              <a16:creationId xmlns:a16="http://schemas.microsoft.com/office/drawing/2014/main" id="{00000000-0008-0000-0300-000004000000}"/>
            </a:ext>
          </a:extLst>
        </xdr:cNvPr>
        <xdr:cNvSpPr/>
      </xdr:nvSpPr>
      <xdr:spPr>
        <a:xfrm>
          <a:off x="1906117" y="304800"/>
          <a:ext cx="2072528" cy="315525"/>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Surface de l'exploitation</a:t>
          </a:r>
        </a:p>
      </xdr:txBody>
    </xdr:sp>
    <xdr:clientData/>
  </xdr:twoCellAnchor>
  <xdr:twoCellAnchor>
    <xdr:from>
      <xdr:col>1</xdr:col>
      <xdr:colOff>466725</xdr:colOff>
      <xdr:row>70</xdr:row>
      <xdr:rowOff>47625</xdr:rowOff>
    </xdr:from>
    <xdr:to>
      <xdr:col>6</xdr:col>
      <xdr:colOff>238125</xdr:colOff>
      <xdr:row>71</xdr:row>
      <xdr:rowOff>172650</xdr:rowOff>
    </xdr:to>
    <xdr:sp macro="" textlink="">
      <xdr:nvSpPr>
        <xdr:cNvPr id="5" name="Parallelogram 4">
          <a:extLst>
            <a:ext uri="{FF2B5EF4-FFF2-40B4-BE49-F238E27FC236}">
              <a16:creationId xmlns:a16="http://schemas.microsoft.com/office/drawing/2014/main" id="{00000000-0008-0000-0300-000005000000}"/>
            </a:ext>
          </a:extLst>
        </xdr:cNvPr>
        <xdr:cNvSpPr/>
      </xdr:nvSpPr>
      <xdr:spPr>
        <a:xfrm>
          <a:off x="1076325" y="11010900"/>
          <a:ext cx="2819400" cy="315525"/>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SAU de l'exploitation</a:t>
          </a:r>
        </a:p>
      </xdr:txBody>
    </xdr:sp>
    <xdr:clientData/>
  </xdr:twoCellAnchor>
  <xdr:twoCellAnchor>
    <xdr:from>
      <xdr:col>6</xdr:col>
      <xdr:colOff>525180</xdr:colOff>
      <xdr:row>1</xdr:row>
      <xdr:rowOff>114300</xdr:rowOff>
    </xdr:from>
    <xdr:to>
      <xdr:col>10</xdr:col>
      <xdr:colOff>172756</xdr:colOff>
      <xdr:row>3</xdr:row>
      <xdr:rowOff>48825</xdr:rowOff>
    </xdr:to>
    <xdr:sp macro="" textlink="">
      <xdr:nvSpPr>
        <xdr:cNvPr id="9" name="Parallelogram 8">
          <a:hlinkClick xmlns:r="http://schemas.openxmlformats.org/officeDocument/2006/relationships" r:id="rId2"/>
          <a:extLst>
            <a:ext uri="{FF2B5EF4-FFF2-40B4-BE49-F238E27FC236}">
              <a16:creationId xmlns:a16="http://schemas.microsoft.com/office/drawing/2014/main" id="{00000000-0008-0000-0300-000009000000}"/>
            </a:ext>
          </a:extLst>
        </xdr:cNvPr>
        <xdr:cNvSpPr/>
      </xdr:nvSpPr>
      <xdr:spPr>
        <a:xfrm>
          <a:off x="4155886" y="304800"/>
          <a:ext cx="2068046" cy="315525"/>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SAU de l'exploitation</a:t>
          </a:r>
        </a:p>
      </xdr:txBody>
    </xdr:sp>
    <xdr:clientData/>
  </xdr:twoCellAnchor>
  <xdr:twoCellAnchor>
    <xdr:from>
      <xdr:col>10</xdr:col>
      <xdr:colOff>349997</xdr:colOff>
      <xdr:row>1</xdr:row>
      <xdr:rowOff>100852</xdr:rowOff>
    </xdr:from>
    <xdr:to>
      <xdr:col>14</xdr:col>
      <xdr:colOff>461495</xdr:colOff>
      <xdr:row>3</xdr:row>
      <xdr:rowOff>35377</xdr:rowOff>
    </xdr:to>
    <xdr:sp macro="" textlink="">
      <xdr:nvSpPr>
        <xdr:cNvPr id="7" name="Parallelogram 6">
          <a:hlinkClick xmlns:r="http://schemas.openxmlformats.org/officeDocument/2006/relationships" r:id="rId3"/>
          <a:extLst>
            <a:ext uri="{FF2B5EF4-FFF2-40B4-BE49-F238E27FC236}">
              <a16:creationId xmlns:a16="http://schemas.microsoft.com/office/drawing/2014/main" id="{00000000-0008-0000-0300-000007000000}"/>
            </a:ext>
          </a:extLst>
        </xdr:cNvPr>
        <xdr:cNvSpPr/>
      </xdr:nvSpPr>
      <xdr:spPr>
        <a:xfrm>
          <a:off x="6401173" y="291352"/>
          <a:ext cx="2072528" cy="315525"/>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Annexe Horticulture</a:t>
          </a:r>
        </a:p>
      </xdr:txBody>
    </xdr:sp>
    <xdr:clientData/>
  </xdr:twoCellAnchor>
  <xdr:twoCellAnchor>
    <xdr:from>
      <xdr:col>1</xdr:col>
      <xdr:colOff>470647</xdr:colOff>
      <xdr:row>168</xdr:row>
      <xdr:rowOff>56030</xdr:rowOff>
    </xdr:from>
    <xdr:to>
      <xdr:col>6</xdr:col>
      <xdr:colOff>242047</xdr:colOff>
      <xdr:row>169</xdr:row>
      <xdr:rowOff>181055</xdr:rowOff>
    </xdr:to>
    <xdr:sp macro="" textlink="">
      <xdr:nvSpPr>
        <xdr:cNvPr id="8" name="Parallelogram 7">
          <a:extLst>
            <a:ext uri="{FF2B5EF4-FFF2-40B4-BE49-F238E27FC236}">
              <a16:creationId xmlns:a16="http://schemas.microsoft.com/office/drawing/2014/main" id="{00000000-0008-0000-0300-000008000000}"/>
            </a:ext>
          </a:extLst>
        </xdr:cNvPr>
        <xdr:cNvSpPr/>
      </xdr:nvSpPr>
      <xdr:spPr>
        <a:xfrm>
          <a:off x="1075765" y="30222265"/>
          <a:ext cx="2796988" cy="326731"/>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Annexe Horticulture</a:t>
          </a:r>
          <a:r>
            <a:rPr lang="fr-FR" sz="1100" baseline="0"/>
            <a:t> et pépinière</a:t>
          </a:r>
          <a:endParaRPr lang="fr-FR" sz="1100"/>
        </a:p>
      </xdr:txBody>
    </xdr:sp>
    <xdr:clientData/>
  </xdr:twoCellAnchor>
  <xdr:twoCellAnchor>
    <xdr:from>
      <xdr:col>1</xdr:col>
      <xdr:colOff>156882</xdr:colOff>
      <xdr:row>5</xdr:row>
      <xdr:rowOff>44824</xdr:rowOff>
    </xdr:from>
    <xdr:to>
      <xdr:col>5</xdr:col>
      <xdr:colOff>537882</xdr:colOff>
      <xdr:row>6</xdr:row>
      <xdr:rowOff>160324</xdr:rowOff>
    </xdr:to>
    <xdr:sp macro="" textlink="">
      <xdr:nvSpPr>
        <xdr:cNvPr id="6" name="Parallelogram 5">
          <a:extLst>
            <a:ext uri="{FF2B5EF4-FFF2-40B4-BE49-F238E27FC236}">
              <a16:creationId xmlns:a16="http://schemas.microsoft.com/office/drawing/2014/main" id="{00000000-0008-0000-0300-000006000000}"/>
            </a:ext>
          </a:extLst>
        </xdr:cNvPr>
        <xdr:cNvSpPr/>
      </xdr:nvSpPr>
      <xdr:spPr>
        <a:xfrm>
          <a:off x="762000" y="997324"/>
          <a:ext cx="2801470" cy="317206"/>
        </a:xfrm>
        <a:prstGeom prst="parallelogram">
          <a:avLst/>
        </a:prstGeom>
        <a:solidFill>
          <a:srgbClr val="8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Remarques préalables</a:t>
          </a:r>
        </a:p>
      </xdr:txBody>
    </xdr:sp>
    <xdr:clientData/>
  </xdr:twoCellAnchor>
  <xdr:twoCellAnchor>
    <xdr:from>
      <xdr:col>14</xdr:col>
      <xdr:colOff>616323</xdr:colOff>
      <xdr:row>1</xdr:row>
      <xdr:rowOff>100852</xdr:rowOff>
    </xdr:from>
    <xdr:to>
      <xdr:col>18</xdr:col>
      <xdr:colOff>190499</xdr:colOff>
      <xdr:row>3</xdr:row>
      <xdr:rowOff>35377</xdr:rowOff>
    </xdr:to>
    <xdr:sp macro="" textlink="">
      <xdr:nvSpPr>
        <xdr:cNvPr id="10" name="Parallelogram 9">
          <a:hlinkClick xmlns:r="http://schemas.openxmlformats.org/officeDocument/2006/relationships" r:id="rId4"/>
          <a:extLst>
            <a:ext uri="{FF2B5EF4-FFF2-40B4-BE49-F238E27FC236}">
              <a16:creationId xmlns:a16="http://schemas.microsoft.com/office/drawing/2014/main" id="{00000000-0008-0000-0300-00000A000000}"/>
            </a:ext>
          </a:extLst>
        </xdr:cNvPr>
        <xdr:cNvSpPr/>
      </xdr:nvSpPr>
      <xdr:spPr>
        <a:xfrm>
          <a:off x="8628529" y="291352"/>
          <a:ext cx="2050676" cy="315525"/>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Remarques</a:t>
          </a:r>
        </a:p>
      </xdr:txBody>
    </xdr:sp>
    <xdr:clientData/>
  </xdr:twoCellAnchor>
  <xdr:twoCellAnchor>
    <xdr:from>
      <xdr:col>2</xdr:col>
      <xdr:colOff>0</xdr:colOff>
      <xdr:row>202</xdr:row>
      <xdr:rowOff>0</xdr:rowOff>
    </xdr:from>
    <xdr:to>
      <xdr:col>6</xdr:col>
      <xdr:colOff>0</xdr:colOff>
      <xdr:row>203</xdr:row>
      <xdr:rowOff>136231</xdr:rowOff>
    </xdr:to>
    <xdr:sp macro="" textlink="">
      <xdr:nvSpPr>
        <xdr:cNvPr id="11" name="Parallelogram 10">
          <a:extLst>
            <a:ext uri="{FF2B5EF4-FFF2-40B4-BE49-F238E27FC236}">
              <a16:creationId xmlns:a16="http://schemas.microsoft.com/office/drawing/2014/main" id="{00000000-0008-0000-0300-00000B000000}"/>
            </a:ext>
          </a:extLst>
        </xdr:cNvPr>
        <xdr:cNvSpPr/>
      </xdr:nvSpPr>
      <xdr:spPr>
        <a:xfrm>
          <a:off x="1210235" y="39556765"/>
          <a:ext cx="2420471" cy="326731"/>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Remarques</a:t>
          </a:r>
        </a:p>
      </xdr:txBody>
    </xdr:sp>
    <xdr:clientData/>
  </xdr:twoCellAnchor>
  <xdr:twoCellAnchor editAs="oneCell">
    <xdr:from>
      <xdr:col>0</xdr:col>
      <xdr:colOff>246382</xdr:colOff>
      <xdr:row>0</xdr:row>
      <xdr:rowOff>57397</xdr:rowOff>
    </xdr:from>
    <xdr:to>
      <xdr:col>2</xdr:col>
      <xdr:colOff>166315</xdr:colOff>
      <xdr:row>4</xdr:row>
      <xdr:rowOff>149152</xdr:rowOff>
    </xdr:to>
    <xdr:pic>
      <xdr:nvPicPr>
        <xdr:cNvPr id="15" name="Image 14">
          <a:hlinkClick xmlns:r="http://schemas.openxmlformats.org/officeDocument/2006/relationships" r:id="rId5"/>
          <a:extLst>
            <a:ext uri="{FF2B5EF4-FFF2-40B4-BE49-F238E27FC236}">
              <a16:creationId xmlns:a16="http://schemas.microsoft.com/office/drawing/2014/main" id="{00000000-0008-0000-0300-00000F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xdr:blipFill>
      <xdr:spPr bwMode="auto">
        <a:xfrm>
          <a:off x="246382" y="57397"/>
          <a:ext cx="1177233" cy="8156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216108</xdr:colOff>
      <xdr:row>0</xdr:row>
      <xdr:rowOff>57397</xdr:rowOff>
    </xdr:from>
    <xdr:to>
      <xdr:col>0</xdr:col>
      <xdr:colOff>1379594</xdr:colOff>
      <xdr:row>4</xdr:row>
      <xdr:rowOff>139627</xdr:rowOff>
    </xdr:to>
    <xdr:pic>
      <xdr:nvPicPr>
        <xdr:cNvPr id="3" name="Image 2">
          <a:hlinkClick xmlns:r="http://schemas.openxmlformats.org/officeDocument/2006/relationships" r:id="rId1"/>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16108" y="57397"/>
          <a:ext cx="1163486" cy="8061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226217</xdr:colOff>
      <xdr:row>6</xdr:row>
      <xdr:rowOff>45244</xdr:rowOff>
    </xdr:from>
    <xdr:to>
      <xdr:col>6</xdr:col>
      <xdr:colOff>219074</xdr:colOff>
      <xdr:row>7</xdr:row>
      <xdr:rowOff>170269</xdr:rowOff>
    </xdr:to>
    <xdr:sp macro="" textlink="">
      <xdr:nvSpPr>
        <xdr:cNvPr id="5" name="Parallelogram 4">
          <a:extLst>
            <a:ext uri="{FF2B5EF4-FFF2-40B4-BE49-F238E27FC236}">
              <a16:creationId xmlns:a16="http://schemas.microsoft.com/office/drawing/2014/main" id="{00000000-0008-0000-0500-000005000000}"/>
            </a:ext>
          </a:extLst>
        </xdr:cNvPr>
        <xdr:cNvSpPr/>
      </xdr:nvSpPr>
      <xdr:spPr>
        <a:xfrm>
          <a:off x="833436" y="1188244"/>
          <a:ext cx="3028951" cy="327431"/>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1.</a:t>
          </a:r>
          <a:r>
            <a:rPr lang="fr-FR" sz="1100" baseline="0"/>
            <a:t> </a:t>
          </a:r>
          <a:r>
            <a:rPr lang="fr-FR" sz="1100"/>
            <a:t>Infrastructures agro-écologiques (IAE)</a:t>
          </a:r>
        </a:p>
      </xdr:txBody>
    </xdr:sp>
    <xdr:clientData/>
  </xdr:twoCellAnchor>
  <xdr:twoCellAnchor>
    <xdr:from>
      <xdr:col>1</xdr:col>
      <xdr:colOff>295275</xdr:colOff>
      <xdr:row>77</xdr:row>
      <xdr:rowOff>23812</xdr:rowOff>
    </xdr:from>
    <xdr:to>
      <xdr:col>5</xdr:col>
      <xdr:colOff>547687</xdr:colOff>
      <xdr:row>78</xdr:row>
      <xdr:rowOff>158362</xdr:rowOff>
    </xdr:to>
    <xdr:sp macro="" textlink="">
      <xdr:nvSpPr>
        <xdr:cNvPr id="6" name="Parallelogram 5">
          <a:extLst>
            <a:ext uri="{FF2B5EF4-FFF2-40B4-BE49-F238E27FC236}">
              <a16:creationId xmlns:a16="http://schemas.microsoft.com/office/drawing/2014/main" id="{00000000-0008-0000-0500-000006000000}"/>
            </a:ext>
          </a:extLst>
        </xdr:cNvPr>
        <xdr:cNvSpPr/>
      </xdr:nvSpPr>
      <xdr:spPr>
        <a:xfrm>
          <a:off x="902494" y="14716125"/>
          <a:ext cx="2681287" cy="33695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2. Taille des parcelles</a:t>
          </a:r>
        </a:p>
      </xdr:txBody>
    </xdr:sp>
    <xdr:clientData/>
  </xdr:twoCellAnchor>
  <xdr:twoCellAnchor>
    <xdr:from>
      <xdr:col>1</xdr:col>
      <xdr:colOff>247650</xdr:colOff>
      <xdr:row>96</xdr:row>
      <xdr:rowOff>35718</xdr:rowOff>
    </xdr:from>
    <xdr:to>
      <xdr:col>6</xdr:col>
      <xdr:colOff>285750</xdr:colOff>
      <xdr:row>97</xdr:row>
      <xdr:rowOff>179793</xdr:rowOff>
    </xdr:to>
    <xdr:sp macro="" textlink="">
      <xdr:nvSpPr>
        <xdr:cNvPr id="7" name="Parallelogram 6">
          <a:extLst>
            <a:ext uri="{FF2B5EF4-FFF2-40B4-BE49-F238E27FC236}">
              <a16:creationId xmlns:a16="http://schemas.microsoft.com/office/drawing/2014/main" id="{00000000-0008-0000-0500-000007000000}"/>
            </a:ext>
          </a:extLst>
        </xdr:cNvPr>
        <xdr:cNvSpPr/>
      </xdr:nvSpPr>
      <xdr:spPr>
        <a:xfrm>
          <a:off x="854869" y="18371343"/>
          <a:ext cx="3074194" cy="346481"/>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3. Poids de la culture principale</a:t>
          </a:r>
        </a:p>
      </xdr:txBody>
    </xdr:sp>
    <xdr:clientData/>
  </xdr:twoCellAnchor>
  <xdr:twoCellAnchor>
    <xdr:from>
      <xdr:col>1</xdr:col>
      <xdr:colOff>228600</xdr:colOff>
      <xdr:row>124</xdr:row>
      <xdr:rowOff>30956</xdr:rowOff>
    </xdr:from>
    <xdr:to>
      <xdr:col>6</xdr:col>
      <xdr:colOff>266700</xdr:colOff>
      <xdr:row>125</xdr:row>
      <xdr:rowOff>184556</xdr:rowOff>
    </xdr:to>
    <xdr:sp macro="" textlink="">
      <xdr:nvSpPr>
        <xdr:cNvPr id="8" name="Parallelogram 7">
          <a:extLst>
            <a:ext uri="{FF2B5EF4-FFF2-40B4-BE49-F238E27FC236}">
              <a16:creationId xmlns:a16="http://schemas.microsoft.com/office/drawing/2014/main" id="{00000000-0008-0000-0500-000008000000}"/>
            </a:ext>
          </a:extLst>
        </xdr:cNvPr>
        <xdr:cNvSpPr/>
      </xdr:nvSpPr>
      <xdr:spPr>
        <a:xfrm>
          <a:off x="835819" y="23724394"/>
          <a:ext cx="3074194" cy="35600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4. Nombre d'espèces végétales cultivées</a:t>
          </a:r>
        </a:p>
      </xdr:txBody>
    </xdr:sp>
    <xdr:clientData/>
  </xdr:twoCellAnchor>
  <xdr:twoCellAnchor>
    <xdr:from>
      <xdr:col>1</xdr:col>
      <xdr:colOff>257175</xdr:colOff>
      <xdr:row>166</xdr:row>
      <xdr:rowOff>19049</xdr:rowOff>
    </xdr:from>
    <xdr:to>
      <xdr:col>6</xdr:col>
      <xdr:colOff>295275</xdr:colOff>
      <xdr:row>167</xdr:row>
      <xdr:rowOff>182174</xdr:rowOff>
    </xdr:to>
    <xdr:sp macro="" textlink="">
      <xdr:nvSpPr>
        <xdr:cNvPr id="9" name="Parallelogram 8">
          <a:extLst>
            <a:ext uri="{FF2B5EF4-FFF2-40B4-BE49-F238E27FC236}">
              <a16:creationId xmlns:a16="http://schemas.microsoft.com/office/drawing/2014/main" id="{00000000-0008-0000-0500-000009000000}"/>
            </a:ext>
          </a:extLst>
        </xdr:cNvPr>
        <xdr:cNvSpPr/>
      </xdr:nvSpPr>
      <xdr:spPr>
        <a:xfrm>
          <a:off x="864394" y="31737299"/>
          <a:ext cx="3074194" cy="365531"/>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5. Nombre d'espèces animales</a:t>
          </a:r>
          <a:r>
            <a:rPr lang="fr-FR" sz="1100" baseline="0"/>
            <a:t> élevées</a:t>
          </a:r>
          <a:endParaRPr lang="fr-FR" sz="1100"/>
        </a:p>
      </xdr:txBody>
    </xdr:sp>
    <xdr:clientData/>
  </xdr:twoCellAnchor>
  <xdr:twoCellAnchor>
    <xdr:from>
      <xdr:col>1</xdr:col>
      <xdr:colOff>261936</xdr:colOff>
      <xdr:row>192</xdr:row>
      <xdr:rowOff>14287</xdr:rowOff>
    </xdr:from>
    <xdr:to>
      <xdr:col>6</xdr:col>
      <xdr:colOff>209549</xdr:colOff>
      <xdr:row>193</xdr:row>
      <xdr:rowOff>186937</xdr:rowOff>
    </xdr:to>
    <xdr:sp macro="" textlink="">
      <xdr:nvSpPr>
        <xdr:cNvPr id="10" name="Parallelogram 9">
          <a:extLst>
            <a:ext uri="{FF2B5EF4-FFF2-40B4-BE49-F238E27FC236}">
              <a16:creationId xmlns:a16="http://schemas.microsoft.com/office/drawing/2014/main" id="{00000000-0008-0000-0500-00000A000000}"/>
            </a:ext>
          </a:extLst>
        </xdr:cNvPr>
        <xdr:cNvSpPr/>
      </xdr:nvSpPr>
      <xdr:spPr>
        <a:xfrm>
          <a:off x="869155" y="36709350"/>
          <a:ext cx="2983707" cy="37505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6. Présence de ruches</a:t>
          </a:r>
        </a:p>
      </xdr:txBody>
    </xdr:sp>
    <xdr:clientData/>
  </xdr:twoCellAnchor>
  <xdr:twoCellAnchor>
    <xdr:from>
      <xdr:col>1</xdr:col>
      <xdr:colOff>228599</xdr:colOff>
      <xdr:row>211</xdr:row>
      <xdr:rowOff>11907</xdr:rowOff>
    </xdr:from>
    <xdr:to>
      <xdr:col>6</xdr:col>
      <xdr:colOff>266699</xdr:colOff>
      <xdr:row>213</xdr:row>
      <xdr:rowOff>3582</xdr:rowOff>
    </xdr:to>
    <xdr:sp macro="" textlink="">
      <xdr:nvSpPr>
        <xdr:cNvPr id="11" name="Parallelogram 10">
          <a:extLst>
            <a:ext uri="{FF2B5EF4-FFF2-40B4-BE49-F238E27FC236}">
              <a16:creationId xmlns:a16="http://schemas.microsoft.com/office/drawing/2014/main" id="{00000000-0008-0000-0500-00000B000000}"/>
            </a:ext>
          </a:extLst>
        </xdr:cNvPr>
        <xdr:cNvSpPr/>
      </xdr:nvSpPr>
      <xdr:spPr>
        <a:xfrm>
          <a:off x="835818" y="40350282"/>
          <a:ext cx="3074194" cy="384581"/>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7. Variété, race ou espèce</a:t>
          </a:r>
          <a:r>
            <a:rPr lang="fr-FR" sz="1100" baseline="0"/>
            <a:t> menacée</a:t>
          </a:r>
          <a:endParaRPr lang="fr-FR" sz="1100"/>
        </a:p>
      </xdr:txBody>
    </xdr:sp>
    <xdr:clientData/>
  </xdr:twoCellAnchor>
  <xdr:twoCellAnchor>
    <xdr:from>
      <xdr:col>1</xdr:col>
      <xdr:colOff>266700</xdr:colOff>
      <xdr:row>235</xdr:row>
      <xdr:rowOff>16669</xdr:rowOff>
    </xdr:from>
    <xdr:to>
      <xdr:col>6</xdr:col>
      <xdr:colOff>304800</xdr:colOff>
      <xdr:row>237</xdr:row>
      <xdr:rowOff>17869</xdr:rowOff>
    </xdr:to>
    <xdr:sp macro="" textlink="">
      <xdr:nvSpPr>
        <xdr:cNvPr id="12" name="Parallelogram 11">
          <a:extLst>
            <a:ext uri="{FF2B5EF4-FFF2-40B4-BE49-F238E27FC236}">
              <a16:creationId xmlns:a16="http://schemas.microsoft.com/office/drawing/2014/main" id="{00000000-0008-0000-0500-00000C000000}"/>
            </a:ext>
          </a:extLst>
        </xdr:cNvPr>
        <xdr:cNvSpPr/>
      </xdr:nvSpPr>
      <xdr:spPr>
        <a:xfrm>
          <a:off x="873919" y="44950857"/>
          <a:ext cx="3074194" cy="39410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8. Qualité biologique du sol</a:t>
          </a:r>
        </a:p>
      </xdr:txBody>
    </xdr:sp>
    <xdr:clientData/>
  </xdr:twoCellAnchor>
  <xdr:twoCellAnchor>
    <xdr:from>
      <xdr:col>13</xdr:col>
      <xdr:colOff>357188</xdr:colOff>
      <xdr:row>2</xdr:row>
      <xdr:rowOff>104775</xdr:rowOff>
    </xdr:from>
    <xdr:to>
      <xdr:col>16</xdr:col>
      <xdr:colOff>407532</xdr:colOff>
      <xdr:row>3</xdr:row>
      <xdr:rowOff>162675</xdr:rowOff>
    </xdr:to>
    <xdr:sp macro="" textlink="">
      <xdr:nvSpPr>
        <xdr:cNvPr id="13" name="Parallelogram 12">
          <a:hlinkClick xmlns:r="http://schemas.openxmlformats.org/officeDocument/2006/relationships" r:id="rId1"/>
          <a:extLst>
            <a:ext uri="{FF2B5EF4-FFF2-40B4-BE49-F238E27FC236}">
              <a16:creationId xmlns:a16="http://schemas.microsoft.com/office/drawing/2014/main" id="{00000000-0008-0000-0500-00000D000000}"/>
            </a:ext>
          </a:extLst>
        </xdr:cNvPr>
        <xdr:cNvSpPr/>
      </xdr:nvSpPr>
      <xdr:spPr>
        <a:xfrm>
          <a:off x="8251032" y="485775"/>
          <a:ext cx="1872000"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Qualité biologique</a:t>
          </a:r>
        </a:p>
      </xdr:txBody>
    </xdr:sp>
    <xdr:clientData/>
  </xdr:twoCellAnchor>
  <xdr:twoCellAnchor>
    <xdr:from>
      <xdr:col>13</xdr:col>
      <xdr:colOff>357188</xdr:colOff>
      <xdr:row>0</xdr:row>
      <xdr:rowOff>142875</xdr:rowOff>
    </xdr:from>
    <xdr:to>
      <xdr:col>16</xdr:col>
      <xdr:colOff>407532</xdr:colOff>
      <xdr:row>2</xdr:row>
      <xdr:rowOff>10275</xdr:rowOff>
    </xdr:to>
    <xdr:sp macro="" textlink="">
      <xdr:nvSpPr>
        <xdr:cNvPr id="14" name="Parallelogram 13">
          <a:hlinkClick xmlns:r="http://schemas.openxmlformats.org/officeDocument/2006/relationships" r:id="rId2"/>
          <a:extLst>
            <a:ext uri="{FF2B5EF4-FFF2-40B4-BE49-F238E27FC236}">
              <a16:creationId xmlns:a16="http://schemas.microsoft.com/office/drawing/2014/main" id="{00000000-0008-0000-0500-00000E000000}"/>
            </a:ext>
          </a:extLst>
        </xdr:cNvPr>
        <xdr:cNvSpPr/>
      </xdr:nvSpPr>
      <xdr:spPr>
        <a:xfrm>
          <a:off x="8251032" y="142875"/>
          <a:ext cx="1872000"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Espèces menacées</a:t>
          </a:r>
        </a:p>
      </xdr:txBody>
    </xdr:sp>
    <xdr:clientData/>
  </xdr:twoCellAnchor>
  <xdr:twoCellAnchor>
    <xdr:from>
      <xdr:col>10</xdr:col>
      <xdr:colOff>180978</xdr:colOff>
      <xdr:row>2</xdr:row>
      <xdr:rowOff>104775</xdr:rowOff>
    </xdr:from>
    <xdr:to>
      <xdr:col>13</xdr:col>
      <xdr:colOff>231322</xdr:colOff>
      <xdr:row>3</xdr:row>
      <xdr:rowOff>162675</xdr:rowOff>
    </xdr:to>
    <xdr:sp macro="" textlink="">
      <xdr:nvSpPr>
        <xdr:cNvPr id="15" name="Parallelogram 14">
          <a:hlinkClick xmlns:r="http://schemas.openxmlformats.org/officeDocument/2006/relationships" r:id="rId3"/>
          <a:extLst>
            <a:ext uri="{FF2B5EF4-FFF2-40B4-BE49-F238E27FC236}">
              <a16:creationId xmlns:a16="http://schemas.microsoft.com/office/drawing/2014/main" id="{00000000-0008-0000-0500-00000F000000}"/>
            </a:ext>
          </a:extLst>
        </xdr:cNvPr>
        <xdr:cNvSpPr/>
      </xdr:nvSpPr>
      <xdr:spPr>
        <a:xfrm>
          <a:off x="6253166" y="485775"/>
          <a:ext cx="1872000"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Ruches</a:t>
          </a:r>
        </a:p>
      </xdr:txBody>
    </xdr:sp>
    <xdr:clientData/>
  </xdr:twoCellAnchor>
  <xdr:twoCellAnchor>
    <xdr:from>
      <xdr:col>10</xdr:col>
      <xdr:colOff>180978</xdr:colOff>
      <xdr:row>0</xdr:row>
      <xdr:rowOff>142875</xdr:rowOff>
    </xdr:from>
    <xdr:to>
      <xdr:col>13</xdr:col>
      <xdr:colOff>231322</xdr:colOff>
      <xdr:row>2</xdr:row>
      <xdr:rowOff>10275</xdr:rowOff>
    </xdr:to>
    <xdr:sp macro="" textlink="">
      <xdr:nvSpPr>
        <xdr:cNvPr id="16" name="Parallelogram 15">
          <a:hlinkClick xmlns:r="http://schemas.openxmlformats.org/officeDocument/2006/relationships" r:id="rId4"/>
          <a:extLst>
            <a:ext uri="{FF2B5EF4-FFF2-40B4-BE49-F238E27FC236}">
              <a16:creationId xmlns:a16="http://schemas.microsoft.com/office/drawing/2014/main" id="{00000000-0008-0000-0500-000010000000}"/>
            </a:ext>
          </a:extLst>
        </xdr:cNvPr>
        <xdr:cNvSpPr/>
      </xdr:nvSpPr>
      <xdr:spPr>
        <a:xfrm>
          <a:off x="6253166" y="142875"/>
          <a:ext cx="1872000"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Nb espèces animales</a:t>
          </a:r>
        </a:p>
      </xdr:txBody>
    </xdr:sp>
    <xdr:clientData/>
  </xdr:twoCellAnchor>
  <xdr:twoCellAnchor>
    <xdr:from>
      <xdr:col>6</xdr:col>
      <xdr:colOff>585788</xdr:colOff>
      <xdr:row>2</xdr:row>
      <xdr:rowOff>104775</xdr:rowOff>
    </xdr:from>
    <xdr:to>
      <xdr:col>10</xdr:col>
      <xdr:colOff>28913</xdr:colOff>
      <xdr:row>3</xdr:row>
      <xdr:rowOff>162675</xdr:rowOff>
    </xdr:to>
    <xdr:sp macro="" textlink="">
      <xdr:nvSpPr>
        <xdr:cNvPr id="17" name="Parallelogram 16">
          <a:hlinkClick xmlns:r="http://schemas.openxmlformats.org/officeDocument/2006/relationships" r:id="rId5"/>
          <a:extLst>
            <a:ext uri="{FF2B5EF4-FFF2-40B4-BE49-F238E27FC236}">
              <a16:creationId xmlns:a16="http://schemas.microsoft.com/office/drawing/2014/main" id="{00000000-0008-0000-0500-000011000000}"/>
            </a:ext>
          </a:extLst>
        </xdr:cNvPr>
        <xdr:cNvSpPr/>
      </xdr:nvSpPr>
      <xdr:spPr>
        <a:xfrm>
          <a:off x="4229101" y="485775"/>
          <a:ext cx="1872000"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Nb</a:t>
          </a:r>
          <a:r>
            <a:rPr lang="fr-FR" sz="1100" b="1" baseline="0">
              <a:solidFill>
                <a:schemeClr val="accent1">
                  <a:lumMod val="50000"/>
                </a:schemeClr>
              </a:solidFill>
            </a:rPr>
            <a:t> espèces végétales</a:t>
          </a:r>
          <a:endParaRPr lang="fr-FR" sz="1100" b="1">
            <a:solidFill>
              <a:schemeClr val="accent1">
                <a:lumMod val="50000"/>
              </a:schemeClr>
            </a:solidFill>
          </a:endParaRPr>
        </a:p>
      </xdr:txBody>
    </xdr:sp>
    <xdr:clientData/>
  </xdr:twoCellAnchor>
  <xdr:twoCellAnchor>
    <xdr:from>
      <xdr:col>6</xdr:col>
      <xdr:colOff>585788</xdr:colOff>
      <xdr:row>0</xdr:row>
      <xdr:rowOff>142875</xdr:rowOff>
    </xdr:from>
    <xdr:to>
      <xdr:col>10</xdr:col>
      <xdr:colOff>28913</xdr:colOff>
      <xdr:row>2</xdr:row>
      <xdr:rowOff>10275</xdr:rowOff>
    </xdr:to>
    <xdr:sp macro="" textlink="">
      <xdr:nvSpPr>
        <xdr:cNvPr id="18" name="Parallelogram 17">
          <a:hlinkClick xmlns:r="http://schemas.openxmlformats.org/officeDocument/2006/relationships" r:id="rId6"/>
          <a:extLst>
            <a:ext uri="{FF2B5EF4-FFF2-40B4-BE49-F238E27FC236}">
              <a16:creationId xmlns:a16="http://schemas.microsoft.com/office/drawing/2014/main" id="{00000000-0008-0000-0500-000012000000}"/>
            </a:ext>
          </a:extLst>
        </xdr:cNvPr>
        <xdr:cNvSpPr/>
      </xdr:nvSpPr>
      <xdr:spPr>
        <a:xfrm>
          <a:off x="4229101" y="142875"/>
          <a:ext cx="1872000"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Culture principale</a:t>
          </a:r>
        </a:p>
      </xdr:txBody>
    </xdr:sp>
    <xdr:clientData/>
  </xdr:twoCellAnchor>
  <xdr:twoCellAnchor>
    <xdr:from>
      <xdr:col>3</xdr:col>
      <xdr:colOff>409573</xdr:colOff>
      <xdr:row>2</xdr:row>
      <xdr:rowOff>104775</xdr:rowOff>
    </xdr:from>
    <xdr:to>
      <xdr:col>6</xdr:col>
      <xdr:colOff>459916</xdr:colOff>
      <xdr:row>3</xdr:row>
      <xdr:rowOff>162675</xdr:rowOff>
    </xdr:to>
    <xdr:sp macro="" textlink="">
      <xdr:nvSpPr>
        <xdr:cNvPr id="19" name="Parallelogram 18">
          <a:hlinkClick xmlns:r="http://schemas.openxmlformats.org/officeDocument/2006/relationships" r:id="rId7"/>
          <a:extLst>
            <a:ext uri="{FF2B5EF4-FFF2-40B4-BE49-F238E27FC236}">
              <a16:creationId xmlns:a16="http://schemas.microsoft.com/office/drawing/2014/main" id="{00000000-0008-0000-0500-000013000000}"/>
            </a:ext>
          </a:extLst>
        </xdr:cNvPr>
        <xdr:cNvSpPr/>
      </xdr:nvSpPr>
      <xdr:spPr>
        <a:xfrm>
          <a:off x="2231229" y="485775"/>
          <a:ext cx="1872000"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Taille parcelles</a:t>
          </a:r>
        </a:p>
      </xdr:txBody>
    </xdr:sp>
    <xdr:clientData/>
  </xdr:twoCellAnchor>
  <xdr:twoCellAnchor>
    <xdr:from>
      <xdr:col>3</xdr:col>
      <xdr:colOff>409573</xdr:colOff>
      <xdr:row>0</xdr:row>
      <xdr:rowOff>142875</xdr:rowOff>
    </xdr:from>
    <xdr:to>
      <xdr:col>6</xdr:col>
      <xdr:colOff>459916</xdr:colOff>
      <xdr:row>2</xdr:row>
      <xdr:rowOff>10275</xdr:rowOff>
    </xdr:to>
    <xdr:sp macro="" textlink="">
      <xdr:nvSpPr>
        <xdr:cNvPr id="20" name="Parallelogram 19">
          <a:hlinkClick xmlns:r="http://schemas.openxmlformats.org/officeDocument/2006/relationships" r:id="rId8"/>
          <a:extLst>
            <a:ext uri="{FF2B5EF4-FFF2-40B4-BE49-F238E27FC236}">
              <a16:creationId xmlns:a16="http://schemas.microsoft.com/office/drawing/2014/main" id="{00000000-0008-0000-0500-000014000000}"/>
            </a:ext>
          </a:extLst>
        </xdr:cNvPr>
        <xdr:cNvSpPr/>
      </xdr:nvSpPr>
      <xdr:spPr>
        <a:xfrm>
          <a:off x="2231229" y="142875"/>
          <a:ext cx="1872000"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IAE</a:t>
          </a:r>
        </a:p>
      </xdr:txBody>
    </xdr:sp>
    <xdr:clientData/>
  </xdr:twoCellAnchor>
  <xdr:twoCellAnchor>
    <xdr:from>
      <xdr:col>1</xdr:col>
      <xdr:colOff>266700</xdr:colOff>
      <xdr:row>258</xdr:row>
      <xdr:rowOff>0</xdr:rowOff>
    </xdr:from>
    <xdr:to>
      <xdr:col>6</xdr:col>
      <xdr:colOff>304800</xdr:colOff>
      <xdr:row>260</xdr:row>
      <xdr:rowOff>12406</xdr:rowOff>
    </xdr:to>
    <xdr:sp macro="" textlink="">
      <xdr:nvSpPr>
        <xdr:cNvPr id="3" name="Parallelogram 2">
          <a:extLst>
            <a:ext uri="{FF2B5EF4-FFF2-40B4-BE49-F238E27FC236}">
              <a16:creationId xmlns:a16="http://schemas.microsoft.com/office/drawing/2014/main" id="{00000000-0008-0000-0500-000003000000}"/>
            </a:ext>
          </a:extLst>
        </xdr:cNvPr>
        <xdr:cNvSpPr/>
      </xdr:nvSpPr>
      <xdr:spPr>
        <a:xfrm>
          <a:off x="871818" y="48185294"/>
          <a:ext cx="3063688" cy="39340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Récapitulatif de l'indicateur</a:t>
          </a:r>
        </a:p>
      </xdr:txBody>
    </xdr:sp>
    <xdr:clientData/>
  </xdr:twoCellAnchor>
  <xdr:twoCellAnchor>
    <xdr:from>
      <xdr:col>16</xdr:col>
      <xdr:colOff>554695</xdr:colOff>
      <xdr:row>0</xdr:row>
      <xdr:rowOff>149182</xdr:rowOff>
    </xdr:from>
    <xdr:to>
      <xdr:col>19</xdr:col>
      <xdr:colOff>353039</xdr:colOff>
      <xdr:row>2</xdr:row>
      <xdr:rowOff>16582</xdr:rowOff>
    </xdr:to>
    <xdr:sp macro="" textlink="">
      <xdr:nvSpPr>
        <xdr:cNvPr id="4" name="Parallelogram 3">
          <a:hlinkClick xmlns:r="http://schemas.openxmlformats.org/officeDocument/2006/relationships" r:id="rId9"/>
          <a:extLst>
            <a:ext uri="{FF2B5EF4-FFF2-40B4-BE49-F238E27FC236}">
              <a16:creationId xmlns:a16="http://schemas.microsoft.com/office/drawing/2014/main" id="{00000000-0008-0000-0500-000004000000}"/>
            </a:ext>
          </a:extLst>
        </xdr:cNvPr>
        <xdr:cNvSpPr/>
      </xdr:nvSpPr>
      <xdr:spPr>
        <a:xfrm>
          <a:off x="10270195" y="149182"/>
          <a:ext cx="1620000"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Récapitulatif</a:t>
          </a:r>
        </a:p>
      </xdr:txBody>
    </xdr:sp>
    <xdr:clientData/>
  </xdr:twoCellAnchor>
  <xdr:twoCellAnchor editAs="oneCell">
    <xdr:from>
      <xdr:col>0</xdr:col>
      <xdr:colOff>246382</xdr:colOff>
      <xdr:row>0</xdr:row>
      <xdr:rowOff>57397</xdr:rowOff>
    </xdr:from>
    <xdr:to>
      <xdr:col>2</xdr:col>
      <xdr:colOff>166315</xdr:colOff>
      <xdr:row>4</xdr:row>
      <xdr:rowOff>149152</xdr:rowOff>
    </xdr:to>
    <xdr:pic>
      <xdr:nvPicPr>
        <xdr:cNvPr id="22" name="Image 21">
          <a:hlinkClick xmlns:r="http://schemas.openxmlformats.org/officeDocument/2006/relationships" r:id="rId10"/>
          <a:extLst>
            <a:ext uri="{FF2B5EF4-FFF2-40B4-BE49-F238E27FC236}">
              <a16:creationId xmlns:a16="http://schemas.microsoft.com/office/drawing/2014/main" id="{00000000-0008-0000-0500-000016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xdr:blipFill>
      <xdr:spPr bwMode="auto">
        <a:xfrm>
          <a:off x="246382" y="57397"/>
          <a:ext cx="1177233" cy="8156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309562</xdr:colOff>
      <xdr:row>6</xdr:row>
      <xdr:rowOff>38100</xdr:rowOff>
    </xdr:from>
    <xdr:to>
      <xdr:col>6</xdr:col>
      <xdr:colOff>1154905</xdr:colOff>
      <xdr:row>7</xdr:row>
      <xdr:rowOff>172650</xdr:rowOff>
    </xdr:to>
    <xdr:sp macro="" textlink="">
      <xdr:nvSpPr>
        <xdr:cNvPr id="3" name="Parallelogram 2">
          <a:extLst>
            <a:ext uri="{FF2B5EF4-FFF2-40B4-BE49-F238E27FC236}">
              <a16:creationId xmlns:a16="http://schemas.microsoft.com/office/drawing/2014/main" id="{00000000-0008-0000-0600-000003000000}"/>
            </a:ext>
          </a:extLst>
        </xdr:cNvPr>
        <xdr:cNvSpPr/>
      </xdr:nvSpPr>
      <xdr:spPr>
        <a:xfrm>
          <a:off x="916781" y="1181100"/>
          <a:ext cx="3881437" cy="33695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1.</a:t>
          </a:r>
          <a:r>
            <a:rPr lang="fr-FR" sz="1100" baseline="0"/>
            <a:t> Limitation de l'utilisation de produits classés CMR</a:t>
          </a:r>
          <a:endParaRPr lang="fr-FR" sz="1100"/>
        </a:p>
      </xdr:txBody>
    </xdr:sp>
    <xdr:clientData/>
  </xdr:twoCellAnchor>
  <xdr:twoCellAnchor>
    <xdr:from>
      <xdr:col>1</xdr:col>
      <xdr:colOff>285749</xdr:colOff>
      <xdr:row>36</xdr:row>
      <xdr:rowOff>33338</xdr:rowOff>
    </xdr:from>
    <xdr:to>
      <xdr:col>6</xdr:col>
      <xdr:colOff>221454</xdr:colOff>
      <xdr:row>37</xdr:row>
      <xdr:rowOff>177413</xdr:rowOff>
    </xdr:to>
    <xdr:sp macro="" textlink="">
      <xdr:nvSpPr>
        <xdr:cNvPr id="4" name="Parallelogram 3">
          <a:extLst>
            <a:ext uri="{FF2B5EF4-FFF2-40B4-BE49-F238E27FC236}">
              <a16:creationId xmlns:a16="http://schemas.microsoft.com/office/drawing/2014/main" id="{00000000-0008-0000-0600-000004000000}"/>
            </a:ext>
          </a:extLst>
        </xdr:cNvPr>
        <xdr:cNvSpPr/>
      </xdr:nvSpPr>
      <xdr:spPr>
        <a:xfrm>
          <a:off x="892968" y="5581651"/>
          <a:ext cx="2971799" cy="346481"/>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2. Surfaces non traitées</a:t>
          </a:r>
        </a:p>
      </xdr:txBody>
    </xdr:sp>
    <xdr:clientData/>
  </xdr:twoCellAnchor>
  <xdr:twoCellAnchor>
    <xdr:from>
      <xdr:col>1</xdr:col>
      <xdr:colOff>297656</xdr:colOff>
      <xdr:row>67</xdr:row>
      <xdr:rowOff>28575</xdr:rowOff>
    </xdr:from>
    <xdr:to>
      <xdr:col>7</xdr:col>
      <xdr:colOff>511969</xdr:colOff>
      <xdr:row>68</xdr:row>
      <xdr:rowOff>182175</xdr:rowOff>
    </xdr:to>
    <xdr:sp macro="" textlink="">
      <xdr:nvSpPr>
        <xdr:cNvPr id="5" name="Parallelogram 4">
          <a:extLst>
            <a:ext uri="{FF2B5EF4-FFF2-40B4-BE49-F238E27FC236}">
              <a16:creationId xmlns:a16="http://schemas.microsoft.com/office/drawing/2014/main" id="{00000000-0008-0000-0600-000005000000}"/>
            </a:ext>
          </a:extLst>
        </xdr:cNvPr>
        <xdr:cNvSpPr/>
      </xdr:nvSpPr>
      <xdr:spPr>
        <a:xfrm>
          <a:off x="904875" y="11506200"/>
          <a:ext cx="4560094" cy="35600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3. Indicateur de fréquence de traitement phytosanitaire (IFT)</a:t>
          </a:r>
        </a:p>
      </xdr:txBody>
    </xdr:sp>
    <xdr:clientData/>
  </xdr:twoCellAnchor>
  <xdr:twoCellAnchor>
    <xdr:from>
      <xdr:col>1</xdr:col>
      <xdr:colOff>333374</xdr:colOff>
      <xdr:row>141</xdr:row>
      <xdr:rowOff>19046</xdr:rowOff>
    </xdr:from>
    <xdr:to>
      <xdr:col>6</xdr:col>
      <xdr:colOff>705969</xdr:colOff>
      <xdr:row>142</xdr:row>
      <xdr:rowOff>172646</xdr:rowOff>
    </xdr:to>
    <xdr:sp macro="" textlink="">
      <xdr:nvSpPr>
        <xdr:cNvPr id="6" name="Parallelogram 5">
          <a:extLst>
            <a:ext uri="{FF2B5EF4-FFF2-40B4-BE49-F238E27FC236}">
              <a16:creationId xmlns:a16="http://schemas.microsoft.com/office/drawing/2014/main" id="{00000000-0008-0000-0600-000006000000}"/>
            </a:ext>
          </a:extLst>
        </xdr:cNvPr>
        <xdr:cNvSpPr/>
      </xdr:nvSpPr>
      <xdr:spPr>
        <a:xfrm>
          <a:off x="940593" y="25165046"/>
          <a:ext cx="3408689" cy="35600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4. Quantité de substances actives appliquée</a:t>
          </a:r>
        </a:p>
      </xdr:txBody>
    </xdr:sp>
    <xdr:clientData/>
  </xdr:twoCellAnchor>
  <xdr:twoCellAnchor>
    <xdr:from>
      <xdr:col>1</xdr:col>
      <xdr:colOff>304800</xdr:colOff>
      <xdr:row>171</xdr:row>
      <xdr:rowOff>11906</xdr:rowOff>
    </xdr:from>
    <xdr:to>
      <xdr:col>6</xdr:col>
      <xdr:colOff>342900</xdr:colOff>
      <xdr:row>172</xdr:row>
      <xdr:rowOff>175031</xdr:rowOff>
    </xdr:to>
    <xdr:sp macro="" textlink="">
      <xdr:nvSpPr>
        <xdr:cNvPr id="7" name="Parallelogram 6">
          <a:extLst>
            <a:ext uri="{FF2B5EF4-FFF2-40B4-BE49-F238E27FC236}">
              <a16:creationId xmlns:a16="http://schemas.microsoft.com/office/drawing/2014/main" id="{00000000-0008-0000-0600-000007000000}"/>
            </a:ext>
          </a:extLst>
        </xdr:cNvPr>
        <xdr:cNvSpPr/>
      </xdr:nvSpPr>
      <xdr:spPr>
        <a:xfrm>
          <a:off x="912019" y="30706219"/>
          <a:ext cx="3074194" cy="365531"/>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5. Surveillance active des parcelles</a:t>
          </a:r>
        </a:p>
      </xdr:txBody>
    </xdr:sp>
    <xdr:clientData/>
  </xdr:twoCellAnchor>
  <xdr:twoCellAnchor>
    <xdr:from>
      <xdr:col>1</xdr:col>
      <xdr:colOff>276224</xdr:colOff>
      <xdr:row>212</xdr:row>
      <xdr:rowOff>26194</xdr:rowOff>
    </xdr:from>
    <xdr:to>
      <xdr:col>6</xdr:col>
      <xdr:colOff>1023937</xdr:colOff>
      <xdr:row>214</xdr:row>
      <xdr:rowOff>8344</xdr:rowOff>
    </xdr:to>
    <xdr:sp macro="" textlink="">
      <xdr:nvSpPr>
        <xdr:cNvPr id="8" name="Parallelogram 7">
          <a:extLst>
            <a:ext uri="{FF2B5EF4-FFF2-40B4-BE49-F238E27FC236}">
              <a16:creationId xmlns:a16="http://schemas.microsoft.com/office/drawing/2014/main" id="{00000000-0008-0000-0600-000008000000}"/>
            </a:ext>
          </a:extLst>
        </xdr:cNvPr>
        <xdr:cNvSpPr/>
      </xdr:nvSpPr>
      <xdr:spPr>
        <a:xfrm>
          <a:off x="883443" y="38554819"/>
          <a:ext cx="3783807" cy="37505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6. Utilisation de méthodes alternatives</a:t>
          </a:r>
        </a:p>
      </xdr:txBody>
    </xdr:sp>
    <xdr:clientData/>
  </xdr:twoCellAnchor>
  <xdr:twoCellAnchor>
    <xdr:from>
      <xdr:col>1</xdr:col>
      <xdr:colOff>333375</xdr:colOff>
      <xdr:row>246</xdr:row>
      <xdr:rowOff>21432</xdr:rowOff>
    </xdr:from>
    <xdr:to>
      <xdr:col>6</xdr:col>
      <xdr:colOff>600075</xdr:colOff>
      <xdr:row>248</xdr:row>
      <xdr:rowOff>3582</xdr:rowOff>
    </xdr:to>
    <xdr:sp macro="" textlink="">
      <xdr:nvSpPr>
        <xdr:cNvPr id="9" name="Parallelogram 8">
          <a:extLst>
            <a:ext uri="{FF2B5EF4-FFF2-40B4-BE49-F238E27FC236}">
              <a16:creationId xmlns:a16="http://schemas.microsoft.com/office/drawing/2014/main" id="{00000000-0008-0000-0600-000009000000}"/>
            </a:ext>
          </a:extLst>
        </xdr:cNvPr>
        <xdr:cNvSpPr/>
      </xdr:nvSpPr>
      <xdr:spPr>
        <a:xfrm>
          <a:off x="940594" y="45050870"/>
          <a:ext cx="3302794" cy="37505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7. Conditions</a:t>
          </a:r>
          <a:r>
            <a:rPr lang="fr-FR" sz="1100" baseline="0"/>
            <a:t> d'application des traitements</a:t>
          </a:r>
          <a:endParaRPr lang="fr-FR" sz="1100"/>
        </a:p>
      </xdr:txBody>
    </xdr:sp>
    <xdr:clientData/>
  </xdr:twoCellAnchor>
  <xdr:twoCellAnchor>
    <xdr:from>
      <xdr:col>1</xdr:col>
      <xdr:colOff>252411</xdr:colOff>
      <xdr:row>270</xdr:row>
      <xdr:rowOff>14288</xdr:rowOff>
    </xdr:from>
    <xdr:to>
      <xdr:col>6</xdr:col>
      <xdr:colOff>290511</xdr:colOff>
      <xdr:row>271</xdr:row>
      <xdr:rowOff>186938</xdr:rowOff>
    </xdr:to>
    <xdr:sp macro="" textlink="">
      <xdr:nvSpPr>
        <xdr:cNvPr id="10" name="Parallelogram 9">
          <a:extLst>
            <a:ext uri="{FF2B5EF4-FFF2-40B4-BE49-F238E27FC236}">
              <a16:creationId xmlns:a16="http://schemas.microsoft.com/office/drawing/2014/main" id="{00000000-0008-0000-0600-00000A000000}"/>
            </a:ext>
          </a:extLst>
        </xdr:cNvPr>
        <xdr:cNvSpPr/>
      </xdr:nvSpPr>
      <xdr:spPr>
        <a:xfrm>
          <a:off x="859630" y="49639538"/>
          <a:ext cx="3074194" cy="37505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8. Diversité spécifique et variétale</a:t>
          </a:r>
        </a:p>
      </xdr:txBody>
    </xdr:sp>
    <xdr:clientData/>
  </xdr:twoCellAnchor>
  <xdr:twoCellAnchor editAs="oneCell">
    <xdr:from>
      <xdr:col>1</xdr:col>
      <xdr:colOff>295275</xdr:colOff>
      <xdr:row>311</xdr:row>
      <xdr:rowOff>16669</xdr:rowOff>
    </xdr:from>
    <xdr:to>
      <xdr:col>6</xdr:col>
      <xdr:colOff>325755</xdr:colOff>
      <xdr:row>313</xdr:row>
      <xdr:rowOff>15964</xdr:rowOff>
    </xdr:to>
    <xdr:sp macro="" textlink="">
      <xdr:nvSpPr>
        <xdr:cNvPr id="11" name="Parallelogram 10">
          <a:extLst>
            <a:ext uri="{FF2B5EF4-FFF2-40B4-BE49-F238E27FC236}">
              <a16:creationId xmlns:a16="http://schemas.microsoft.com/office/drawing/2014/main" id="{00000000-0008-0000-0600-00000B000000}"/>
            </a:ext>
          </a:extLst>
        </xdr:cNvPr>
        <xdr:cNvSpPr/>
      </xdr:nvSpPr>
      <xdr:spPr>
        <a:xfrm>
          <a:off x="902494" y="57476232"/>
          <a:ext cx="3074194" cy="384581"/>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9. Couvert végétal inter-rang</a:t>
          </a:r>
        </a:p>
      </xdr:txBody>
    </xdr:sp>
    <xdr:clientData/>
  </xdr:twoCellAnchor>
  <xdr:twoCellAnchor>
    <xdr:from>
      <xdr:col>1</xdr:col>
      <xdr:colOff>271463</xdr:colOff>
      <xdr:row>344</xdr:row>
      <xdr:rowOff>2382</xdr:rowOff>
    </xdr:from>
    <xdr:to>
      <xdr:col>6</xdr:col>
      <xdr:colOff>1190625</xdr:colOff>
      <xdr:row>346</xdr:row>
      <xdr:rowOff>3582</xdr:rowOff>
    </xdr:to>
    <xdr:sp macro="" textlink="">
      <xdr:nvSpPr>
        <xdr:cNvPr id="12" name="Parallelogram 11">
          <a:extLst>
            <a:ext uri="{FF2B5EF4-FFF2-40B4-BE49-F238E27FC236}">
              <a16:creationId xmlns:a16="http://schemas.microsoft.com/office/drawing/2014/main" id="{00000000-0008-0000-0600-00000C000000}"/>
            </a:ext>
          </a:extLst>
        </xdr:cNvPr>
        <xdr:cNvSpPr/>
      </xdr:nvSpPr>
      <xdr:spPr>
        <a:xfrm>
          <a:off x="878682" y="63772257"/>
          <a:ext cx="3955256" cy="39410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10. Recyclage et traitement des eaux d'irrigation</a:t>
          </a:r>
        </a:p>
      </xdr:txBody>
    </xdr:sp>
    <xdr:clientData/>
  </xdr:twoCellAnchor>
  <xdr:twoCellAnchor>
    <xdr:from>
      <xdr:col>15</xdr:col>
      <xdr:colOff>176225</xdr:colOff>
      <xdr:row>2</xdr:row>
      <xdr:rowOff>133351</xdr:rowOff>
    </xdr:from>
    <xdr:to>
      <xdr:col>18</xdr:col>
      <xdr:colOff>478569</xdr:colOff>
      <xdr:row>4</xdr:row>
      <xdr:rowOff>751</xdr:rowOff>
    </xdr:to>
    <xdr:sp macro="" textlink="">
      <xdr:nvSpPr>
        <xdr:cNvPr id="13" name="Parallelogram 12">
          <a:hlinkClick xmlns:r="http://schemas.openxmlformats.org/officeDocument/2006/relationships" r:id="rId1"/>
          <a:extLst>
            <a:ext uri="{FF2B5EF4-FFF2-40B4-BE49-F238E27FC236}">
              <a16:creationId xmlns:a16="http://schemas.microsoft.com/office/drawing/2014/main" id="{00000000-0008-0000-0600-00000D000000}"/>
            </a:ext>
          </a:extLst>
        </xdr:cNvPr>
        <xdr:cNvSpPr/>
      </xdr:nvSpPr>
      <xdr:spPr>
        <a:xfrm>
          <a:off x="9986975" y="514351"/>
          <a:ext cx="2124000" cy="248400"/>
        </a:xfrm>
        <a:prstGeom prst="parallelogram">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Recyclage eaux</a:t>
          </a:r>
        </a:p>
      </xdr:txBody>
    </xdr:sp>
    <xdr:clientData/>
  </xdr:twoCellAnchor>
  <xdr:twoCellAnchor>
    <xdr:from>
      <xdr:col>2</xdr:col>
      <xdr:colOff>409575</xdr:colOff>
      <xdr:row>0</xdr:row>
      <xdr:rowOff>142875</xdr:rowOff>
    </xdr:from>
    <xdr:to>
      <xdr:col>6</xdr:col>
      <xdr:colOff>68700</xdr:colOff>
      <xdr:row>2</xdr:row>
      <xdr:rowOff>10275</xdr:rowOff>
    </xdr:to>
    <xdr:sp macro="" textlink="">
      <xdr:nvSpPr>
        <xdr:cNvPr id="14" name="Parallelogram 13">
          <a:hlinkClick xmlns:r="http://schemas.openxmlformats.org/officeDocument/2006/relationships" r:id="rId2"/>
          <a:extLst>
            <a:ext uri="{FF2B5EF4-FFF2-40B4-BE49-F238E27FC236}">
              <a16:creationId xmlns:a16="http://schemas.microsoft.com/office/drawing/2014/main" id="{00000000-0008-0000-0600-00000E000000}"/>
            </a:ext>
          </a:extLst>
        </xdr:cNvPr>
        <xdr:cNvSpPr/>
      </xdr:nvSpPr>
      <xdr:spPr>
        <a:xfrm>
          <a:off x="1624013" y="142875"/>
          <a:ext cx="2088000" cy="248400"/>
        </a:xfrm>
        <a:prstGeom prst="parallelogram">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CMR</a:t>
          </a:r>
        </a:p>
      </xdr:txBody>
    </xdr:sp>
    <xdr:clientData/>
  </xdr:twoCellAnchor>
  <xdr:twoCellAnchor>
    <xdr:from>
      <xdr:col>2</xdr:col>
      <xdr:colOff>409575</xdr:colOff>
      <xdr:row>2</xdr:row>
      <xdr:rowOff>133351</xdr:rowOff>
    </xdr:from>
    <xdr:to>
      <xdr:col>6</xdr:col>
      <xdr:colOff>68700</xdr:colOff>
      <xdr:row>4</xdr:row>
      <xdr:rowOff>751</xdr:rowOff>
    </xdr:to>
    <xdr:sp macro="" textlink="">
      <xdr:nvSpPr>
        <xdr:cNvPr id="15" name="Parallelogram 14">
          <a:hlinkClick xmlns:r="http://schemas.openxmlformats.org/officeDocument/2006/relationships" r:id="rId3"/>
          <a:extLst>
            <a:ext uri="{FF2B5EF4-FFF2-40B4-BE49-F238E27FC236}">
              <a16:creationId xmlns:a16="http://schemas.microsoft.com/office/drawing/2014/main" id="{00000000-0008-0000-0600-00000F000000}"/>
            </a:ext>
          </a:extLst>
        </xdr:cNvPr>
        <xdr:cNvSpPr/>
      </xdr:nvSpPr>
      <xdr:spPr>
        <a:xfrm>
          <a:off x="1624013" y="514351"/>
          <a:ext cx="2088000" cy="248400"/>
        </a:xfrm>
        <a:prstGeom prst="parallelogram">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Surfaces non traitées</a:t>
          </a:r>
        </a:p>
      </xdr:txBody>
    </xdr:sp>
    <xdr:clientData/>
  </xdr:twoCellAnchor>
  <xdr:twoCellAnchor>
    <xdr:from>
      <xdr:col>6</xdr:col>
      <xdr:colOff>83349</xdr:colOff>
      <xdr:row>0</xdr:row>
      <xdr:rowOff>142875</xdr:rowOff>
    </xdr:from>
    <xdr:to>
      <xdr:col>8</xdr:col>
      <xdr:colOff>254443</xdr:colOff>
      <xdr:row>2</xdr:row>
      <xdr:rowOff>10275</xdr:rowOff>
    </xdr:to>
    <xdr:sp macro="" textlink="">
      <xdr:nvSpPr>
        <xdr:cNvPr id="16" name="Parallelogram 15">
          <a:hlinkClick xmlns:r="http://schemas.openxmlformats.org/officeDocument/2006/relationships" r:id="rId4"/>
          <a:extLst>
            <a:ext uri="{FF2B5EF4-FFF2-40B4-BE49-F238E27FC236}">
              <a16:creationId xmlns:a16="http://schemas.microsoft.com/office/drawing/2014/main" id="{00000000-0008-0000-0600-000010000000}"/>
            </a:ext>
          </a:extLst>
        </xdr:cNvPr>
        <xdr:cNvSpPr/>
      </xdr:nvSpPr>
      <xdr:spPr>
        <a:xfrm>
          <a:off x="3726662" y="142875"/>
          <a:ext cx="2088000" cy="248400"/>
        </a:xfrm>
        <a:prstGeom prst="parallelogram">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IFT</a:t>
          </a:r>
        </a:p>
      </xdr:txBody>
    </xdr:sp>
    <xdr:clientData/>
  </xdr:twoCellAnchor>
  <xdr:twoCellAnchor>
    <xdr:from>
      <xdr:col>6</xdr:col>
      <xdr:colOff>83349</xdr:colOff>
      <xdr:row>2</xdr:row>
      <xdr:rowOff>133351</xdr:rowOff>
    </xdr:from>
    <xdr:to>
      <xdr:col>8</xdr:col>
      <xdr:colOff>254443</xdr:colOff>
      <xdr:row>4</xdr:row>
      <xdr:rowOff>751</xdr:rowOff>
    </xdr:to>
    <xdr:sp macro="" textlink="">
      <xdr:nvSpPr>
        <xdr:cNvPr id="17" name="Parallelogram 16">
          <a:hlinkClick xmlns:r="http://schemas.openxmlformats.org/officeDocument/2006/relationships" r:id="rId5"/>
          <a:extLst>
            <a:ext uri="{FF2B5EF4-FFF2-40B4-BE49-F238E27FC236}">
              <a16:creationId xmlns:a16="http://schemas.microsoft.com/office/drawing/2014/main" id="{00000000-0008-0000-0600-000011000000}"/>
            </a:ext>
          </a:extLst>
        </xdr:cNvPr>
        <xdr:cNvSpPr/>
      </xdr:nvSpPr>
      <xdr:spPr>
        <a:xfrm>
          <a:off x="3726662" y="514351"/>
          <a:ext cx="2088000" cy="248400"/>
        </a:xfrm>
        <a:prstGeom prst="parallelogram">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Quantité appliquée</a:t>
          </a:r>
        </a:p>
      </xdr:txBody>
    </xdr:sp>
    <xdr:clientData/>
  </xdr:twoCellAnchor>
  <xdr:twoCellAnchor>
    <xdr:from>
      <xdr:col>8</xdr:col>
      <xdr:colOff>245276</xdr:colOff>
      <xdr:row>0</xdr:row>
      <xdr:rowOff>142875</xdr:rowOff>
    </xdr:from>
    <xdr:to>
      <xdr:col>11</xdr:col>
      <xdr:colOff>511620</xdr:colOff>
      <xdr:row>2</xdr:row>
      <xdr:rowOff>10275</xdr:rowOff>
    </xdr:to>
    <xdr:sp macro="" textlink="">
      <xdr:nvSpPr>
        <xdr:cNvPr id="18" name="Parallelogram 17">
          <a:hlinkClick xmlns:r="http://schemas.openxmlformats.org/officeDocument/2006/relationships" r:id="rId6"/>
          <a:extLst>
            <a:ext uri="{FF2B5EF4-FFF2-40B4-BE49-F238E27FC236}">
              <a16:creationId xmlns:a16="http://schemas.microsoft.com/office/drawing/2014/main" id="{00000000-0008-0000-0600-000012000000}"/>
            </a:ext>
          </a:extLst>
        </xdr:cNvPr>
        <xdr:cNvSpPr/>
      </xdr:nvSpPr>
      <xdr:spPr>
        <a:xfrm>
          <a:off x="5805495" y="142875"/>
          <a:ext cx="2088000" cy="248400"/>
        </a:xfrm>
        <a:prstGeom prst="parallelogram">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Surveillance </a:t>
          </a:r>
        </a:p>
      </xdr:txBody>
    </xdr:sp>
    <xdr:clientData/>
  </xdr:twoCellAnchor>
  <xdr:twoCellAnchor>
    <xdr:from>
      <xdr:col>8</xdr:col>
      <xdr:colOff>245276</xdr:colOff>
      <xdr:row>2</xdr:row>
      <xdr:rowOff>133351</xdr:rowOff>
    </xdr:from>
    <xdr:to>
      <xdr:col>11</xdr:col>
      <xdr:colOff>511620</xdr:colOff>
      <xdr:row>4</xdr:row>
      <xdr:rowOff>751</xdr:rowOff>
    </xdr:to>
    <xdr:sp macro="" textlink="">
      <xdr:nvSpPr>
        <xdr:cNvPr id="19" name="Parallelogram 18">
          <a:hlinkClick xmlns:r="http://schemas.openxmlformats.org/officeDocument/2006/relationships" r:id="rId7"/>
          <a:extLst>
            <a:ext uri="{FF2B5EF4-FFF2-40B4-BE49-F238E27FC236}">
              <a16:creationId xmlns:a16="http://schemas.microsoft.com/office/drawing/2014/main" id="{00000000-0008-0000-0600-000013000000}"/>
            </a:ext>
          </a:extLst>
        </xdr:cNvPr>
        <xdr:cNvSpPr/>
      </xdr:nvSpPr>
      <xdr:spPr>
        <a:xfrm>
          <a:off x="5805495" y="514351"/>
          <a:ext cx="2088000" cy="248400"/>
        </a:xfrm>
        <a:prstGeom prst="parallelogram">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Méthodes alternatives</a:t>
          </a:r>
        </a:p>
      </xdr:txBody>
    </xdr:sp>
    <xdr:clientData/>
  </xdr:twoCellAnchor>
  <xdr:twoCellAnchor>
    <xdr:from>
      <xdr:col>11</xdr:col>
      <xdr:colOff>514355</xdr:colOff>
      <xdr:row>0</xdr:row>
      <xdr:rowOff>142875</xdr:rowOff>
    </xdr:from>
    <xdr:to>
      <xdr:col>15</xdr:col>
      <xdr:colOff>173480</xdr:colOff>
      <xdr:row>2</xdr:row>
      <xdr:rowOff>10275</xdr:rowOff>
    </xdr:to>
    <xdr:sp macro="" textlink="">
      <xdr:nvSpPr>
        <xdr:cNvPr id="20" name="Parallelogram 19">
          <a:hlinkClick xmlns:r="http://schemas.openxmlformats.org/officeDocument/2006/relationships" r:id="rId8"/>
          <a:extLst>
            <a:ext uri="{FF2B5EF4-FFF2-40B4-BE49-F238E27FC236}">
              <a16:creationId xmlns:a16="http://schemas.microsoft.com/office/drawing/2014/main" id="{00000000-0008-0000-0600-000014000000}"/>
            </a:ext>
          </a:extLst>
        </xdr:cNvPr>
        <xdr:cNvSpPr/>
      </xdr:nvSpPr>
      <xdr:spPr>
        <a:xfrm>
          <a:off x="7896230" y="142875"/>
          <a:ext cx="2088000" cy="248400"/>
        </a:xfrm>
        <a:prstGeom prst="parallelogram">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Application traitements</a:t>
          </a:r>
        </a:p>
      </xdr:txBody>
    </xdr:sp>
    <xdr:clientData/>
  </xdr:twoCellAnchor>
  <xdr:twoCellAnchor>
    <xdr:from>
      <xdr:col>11</xdr:col>
      <xdr:colOff>514355</xdr:colOff>
      <xdr:row>2</xdr:row>
      <xdr:rowOff>133351</xdr:rowOff>
    </xdr:from>
    <xdr:to>
      <xdr:col>15</xdr:col>
      <xdr:colOff>173480</xdr:colOff>
      <xdr:row>4</xdr:row>
      <xdr:rowOff>751</xdr:rowOff>
    </xdr:to>
    <xdr:sp macro="" textlink="">
      <xdr:nvSpPr>
        <xdr:cNvPr id="21" name="Parallelogram 20">
          <a:hlinkClick xmlns:r="http://schemas.openxmlformats.org/officeDocument/2006/relationships" r:id="rId9"/>
          <a:extLst>
            <a:ext uri="{FF2B5EF4-FFF2-40B4-BE49-F238E27FC236}">
              <a16:creationId xmlns:a16="http://schemas.microsoft.com/office/drawing/2014/main" id="{00000000-0008-0000-0600-000015000000}"/>
            </a:ext>
          </a:extLst>
        </xdr:cNvPr>
        <xdr:cNvSpPr/>
      </xdr:nvSpPr>
      <xdr:spPr>
        <a:xfrm>
          <a:off x="7896230" y="514351"/>
          <a:ext cx="2088000" cy="248400"/>
        </a:xfrm>
        <a:prstGeom prst="parallelogram">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Diversité variétale</a:t>
          </a:r>
        </a:p>
      </xdr:txBody>
    </xdr:sp>
    <xdr:clientData/>
  </xdr:twoCellAnchor>
  <xdr:twoCellAnchor>
    <xdr:from>
      <xdr:col>15</xdr:col>
      <xdr:colOff>176225</xdr:colOff>
      <xdr:row>0</xdr:row>
      <xdr:rowOff>142875</xdr:rowOff>
    </xdr:from>
    <xdr:to>
      <xdr:col>18</xdr:col>
      <xdr:colOff>478569</xdr:colOff>
      <xdr:row>2</xdr:row>
      <xdr:rowOff>10275</xdr:rowOff>
    </xdr:to>
    <xdr:sp macro="" textlink="">
      <xdr:nvSpPr>
        <xdr:cNvPr id="22" name="Parallelogram 21">
          <a:hlinkClick xmlns:r="http://schemas.openxmlformats.org/officeDocument/2006/relationships" r:id="rId10"/>
          <a:extLst>
            <a:ext uri="{FF2B5EF4-FFF2-40B4-BE49-F238E27FC236}">
              <a16:creationId xmlns:a16="http://schemas.microsoft.com/office/drawing/2014/main" id="{00000000-0008-0000-0600-000016000000}"/>
            </a:ext>
          </a:extLst>
        </xdr:cNvPr>
        <xdr:cNvSpPr/>
      </xdr:nvSpPr>
      <xdr:spPr>
        <a:xfrm>
          <a:off x="9986975" y="142875"/>
          <a:ext cx="2124000" cy="248400"/>
        </a:xfrm>
        <a:prstGeom prst="parallelogram">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Couvert végétal inter-rang</a:t>
          </a:r>
        </a:p>
      </xdr:txBody>
    </xdr:sp>
    <xdr:clientData/>
  </xdr:twoCellAnchor>
  <xdr:twoCellAnchor>
    <xdr:from>
      <xdr:col>1</xdr:col>
      <xdr:colOff>324116</xdr:colOff>
      <xdr:row>378</xdr:row>
      <xdr:rowOff>6615</xdr:rowOff>
    </xdr:from>
    <xdr:to>
      <xdr:col>6</xdr:col>
      <xdr:colOff>318637</xdr:colOff>
      <xdr:row>380</xdr:row>
      <xdr:rowOff>19644</xdr:rowOff>
    </xdr:to>
    <xdr:sp macro="" textlink="">
      <xdr:nvSpPr>
        <xdr:cNvPr id="23" name="Parallelogram 22">
          <a:extLst>
            <a:ext uri="{FF2B5EF4-FFF2-40B4-BE49-F238E27FC236}">
              <a16:creationId xmlns:a16="http://schemas.microsoft.com/office/drawing/2014/main" id="{00000000-0008-0000-0600-000017000000}"/>
            </a:ext>
          </a:extLst>
        </xdr:cNvPr>
        <xdr:cNvSpPr/>
      </xdr:nvSpPr>
      <xdr:spPr>
        <a:xfrm>
          <a:off x="931335" y="70277303"/>
          <a:ext cx="3030615" cy="405935"/>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Récapitulatif de l'indicateur</a:t>
          </a:r>
        </a:p>
      </xdr:txBody>
    </xdr:sp>
    <xdr:clientData/>
  </xdr:twoCellAnchor>
  <xdr:twoCellAnchor>
    <xdr:from>
      <xdr:col>18</xdr:col>
      <xdr:colOff>470963</xdr:colOff>
      <xdr:row>0</xdr:row>
      <xdr:rowOff>137587</xdr:rowOff>
    </xdr:from>
    <xdr:to>
      <xdr:col>21</xdr:col>
      <xdr:colOff>449306</xdr:colOff>
      <xdr:row>2</xdr:row>
      <xdr:rowOff>4987</xdr:rowOff>
    </xdr:to>
    <xdr:sp macro="" textlink="">
      <xdr:nvSpPr>
        <xdr:cNvPr id="24" name="Parallelogram 23">
          <a:hlinkClick xmlns:r="http://schemas.openxmlformats.org/officeDocument/2006/relationships" r:id="rId11"/>
          <a:extLst>
            <a:ext uri="{FF2B5EF4-FFF2-40B4-BE49-F238E27FC236}">
              <a16:creationId xmlns:a16="http://schemas.microsoft.com/office/drawing/2014/main" id="{00000000-0008-0000-0600-000018000000}"/>
            </a:ext>
          </a:extLst>
        </xdr:cNvPr>
        <xdr:cNvSpPr/>
      </xdr:nvSpPr>
      <xdr:spPr>
        <a:xfrm>
          <a:off x="12103369" y="137587"/>
          <a:ext cx="1800000" cy="248400"/>
        </a:xfrm>
        <a:prstGeom prst="parallelogram">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Récapitulatif</a:t>
          </a:r>
        </a:p>
      </xdr:txBody>
    </xdr:sp>
    <xdr:clientData/>
  </xdr:twoCellAnchor>
  <xdr:twoCellAnchor editAs="oneCell">
    <xdr:from>
      <xdr:col>0</xdr:col>
      <xdr:colOff>241883</xdr:colOff>
      <xdr:row>0</xdr:row>
      <xdr:rowOff>58465</xdr:rowOff>
    </xdr:from>
    <xdr:to>
      <xdr:col>2</xdr:col>
      <xdr:colOff>142237</xdr:colOff>
      <xdr:row>4</xdr:row>
      <xdr:rowOff>136654</xdr:rowOff>
    </xdr:to>
    <xdr:pic>
      <xdr:nvPicPr>
        <xdr:cNvPr id="27" name="Image 26">
          <a:hlinkClick xmlns:r="http://schemas.openxmlformats.org/officeDocument/2006/relationships" r:id="rId12"/>
          <a:extLst>
            <a:ext uri="{FF2B5EF4-FFF2-40B4-BE49-F238E27FC236}">
              <a16:creationId xmlns:a16="http://schemas.microsoft.com/office/drawing/2014/main" id="{00000000-0008-0000-0600-00001B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xdr:blipFill>
      <xdr:spPr bwMode="auto">
        <a:xfrm>
          <a:off x="241883" y="58465"/>
          <a:ext cx="1157654" cy="8020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243730</xdr:colOff>
      <xdr:row>0</xdr:row>
      <xdr:rowOff>57397</xdr:rowOff>
    </xdr:from>
    <xdr:to>
      <xdr:col>2</xdr:col>
      <xdr:colOff>149916</xdr:colOff>
      <xdr:row>4</xdr:row>
      <xdr:rowOff>139627</xdr:rowOff>
    </xdr:to>
    <xdr:pic>
      <xdr:nvPicPr>
        <xdr:cNvPr id="25" name="Image 24">
          <a:hlinkClick xmlns:r="http://schemas.openxmlformats.org/officeDocument/2006/relationships" r:id="rId1"/>
          <a:extLst>
            <a:ext uri="{FF2B5EF4-FFF2-40B4-BE49-F238E27FC236}">
              <a16:creationId xmlns:a16="http://schemas.microsoft.com/office/drawing/2014/main" id="{00000000-0008-0000-0700-000019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43730" y="57397"/>
          <a:ext cx="1163486" cy="8061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207310</xdr:colOff>
      <xdr:row>6</xdr:row>
      <xdr:rowOff>38100</xdr:rowOff>
    </xdr:from>
    <xdr:to>
      <xdr:col>6</xdr:col>
      <xdr:colOff>245410</xdr:colOff>
      <xdr:row>7</xdr:row>
      <xdr:rowOff>172650</xdr:rowOff>
    </xdr:to>
    <xdr:sp macro="" textlink="">
      <xdr:nvSpPr>
        <xdr:cNvPr id="3" name="Parallelogram 2">
          <a:extLst>
            <a:ext uri="{FF2B5EF4-FFF2-40B4-BE49-F238E27FC236}">
              <a16:creationId xmlns:a16="http://schemas.microsoft.com/office/drawing/2014/main" id="{00000000-0008-0000-0700-000003000000}"/>
            </a:ext>
          </a:extLst>
        </xdr:cNvPr>
        <xdr:cNvSpPr/>
      </xdr:nvSpPr>
      <xdr:spPr>
        <a:xfrm>
          <a:off x="812428" y="1181100"/>
          <a:ext cx="3063688" cy="33625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1.</a:t>
          </a:r>
          <a:r>
            <a:rPr lang="fr-FR" sz="1100" baseline="0"/>
            <a:t> </a:t>
          </a:r>
          <a:r>
            <a:rPr lang="fr-FR" sz="1100"/>
            <a:t>Bilan azoté</a:t>
          </a:r>
        </a:p>
      </xdr:txBody>
    </xdr:sp>
    <xdr:clientData/>
  </xdr:twoCellAnchor>
  <xdr:twoCellAnchor>
    <xdr:from>
      <xdr:col>1</xdr:col>
      <xdr:colOff>285750</xdr:colOff>
      <xdr:row>81</xdr:row>
      <xdr:rowOff>25213</xdr:rowOff>
    </xdr:from>
    <xdr:to>
      <xdr:col>6</xdr:col>
      <xdr:colOff>323850</xdr:colOff>
      <xdr:row>82</xdr:row>
      <xdr:rowOff>169288</xdr:rowOff>
    </xdr:to>
    <xdr:sp macro="" textlink="">
      <xdr:nvSpPr>
        <xdr:cNvPr id="4" name="Parallelogram 3">
          <a:extLst>
            <a:ext uri="{FF2B5EF4-FFF2-40B4-BE49-F238E27FC236}">
              <a16:creationId xmlns:a16="http://schemas.microsoft.com/office/drawing/2014/main" id="{00000000-0008-0000-0700-000004000000}"/>
            </a:ext>
          </a:extLst>
        </xdr:cNvPr>
        <xdr:cNvSpPr/>
      </xdr:nvSpPr>
      <xdr:spPr>
        <a:xfrm>
          <a:off x="890868" y="15500537"/>
          <a:ext cx="3063688" cy="345780"/>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2. Quantité d'azote apportée</a:t>
          </a:r>
        </a:p>
      </xdr:txBody>
    </xdr:sp>
    <xdr:clientData/>
  </xdr:twoCellAnchor>
  <xdr:twoCellAnchor>
    <xdr:from>
      <xdr:col>1</xdr:col>
      <xdr:colOff>295275</xdr:colOff>
      <xdr:row>112</xdr:row>
      <xdr:rowOff>33057</xdr:rowOff>
    </xdr:from>
    <xdr:to>
      <xdr:col>6</xdr:col>
      <xdr:colOff>333375</xdr:colOff>
      <xdr:row>113</xdr:row>
      <xdr:rowOff>186657</xdr:rowOff>
    </xdr:to>
    <xdr:sp macro="" textlink="">
      <xdr:nvSpPr>
        <xdr:cNvPr id="5" name="Parallelogram 4">
          <a:extLst>
            <a:ext uri="{FF2B5EF4-FFF2-40B4-BE49-F238E27FC236}">
              <a16:creationId xmlns:a16="http://schemas.microsoft.com/office/drawing/2014/main" id="{00000000-0008-0000-0700-000005000000}"/>
            </a:ext>
          </a:extLst>
        </xdr:cNvPr>
        <xdr:cNvSpPr/>
      </xdr:nvSpPr>
      <xdr:spPr>
        <a:xfrm>
          <a:off x="900393" y="21436292"/>
          <a:ext cx="3063688" cy="35530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3. Part de l'azote</a:t>
          </a:r>
          <a:r>
            <a:rPr lang="fr-FR" sz="1100" baseline="0"/>
            <a:t> organique apporté</a:t>
          </a:r>
          <a:endParaRPr lang="fr-FR" sz="1100"/>
        </a:p>
      </xdr:txBody>
    </xdr:sp>
    <xdr:clientData/>
  </xdr:twoCellAnchor>
  <xdr:twoCellAnchor>
    <xdr:from>
      <xdr:col>1</xdr:col>
      <xdr:colOff>342900</xdr:colOff>
      <xdr:row>134</xdr:row>
      <xdr:rowOff>25213</xdr:rowOff>
    </xdr:from>
    <xdr:to>
      <xdr:col>6</xdr:col>
      <xdr:colOff>381000</xdr:colOff>
      <xdr:row>135</xdr:row>
      <xdr:rowOff>188338</xdr:rowOff>
    </xdr:to>
    <xdr:sp macro="" textlink="">
      <xdr:nvSpPr>
        <xdr:cNvPr id="6" name="Parallelogram 5">
          <a:extLst>
            <a:ext uri="{FF2B5EF4-FFF2-40B4-BE49-F238E27FC236}">
              <a16:creationId xmlns:a16="http://schemas.microsoft.com/office/drawing/2014/main" id="{00000000-0008-0000-0700-000006000000}"/>
            </a:ext>
          </a:extLst>
        </xdr:cNvPr>
        <xdr:cNvSpPr/>
      </xdr:nvSpPr>
      <xdr:spPr>
        <a:xfrm>
          <a:off x="948018" y="25641860"/>
          <a:ext cx="3063688" cy="364831"/>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4. Utilisation d'OAD</a:t>
          </a:r>
        </a:p>
      </xdr:txBody>
    </xdr:sp>
    <xdr:clientData/>
  </xdr:twoCellAnchor>
  <xdr:twoCellAnchor>
    <xdr:from>
      <xdr:col>1</xdr:col>
      <xdr:colOff>381000</xdr:colOff>
      <xdr:row>203</xdr:row>
      <xdr:rowOff>12326</xdr:rowOff>
    </xdr:from>
    <xdr:to>
      <xdr:col>6</xdr:col>
      <xdr:colOff>419100</xdr:colOff>
      <xdr:row>204</xdr:row>
      <xdr:rowOff>184976</xdr:rowOff>
    </xdr:to>
    <xdr:sp macro="" textlink="">
      <xdr:nvSpPr>
        <xdr:cNvPr id="7" name="Parallelogram 6">
          <a:extLst>
            <a:ext uri="{FF2B5EF4-FFF2-40B4-BE49-F238E27FC236}">
              <a16:creationId xmlns:a16="http://schemas.microsoft.com/office/drawing/2014/main" id="{00000000-0008-0000-0700-000007000000}"/>
            </a:ext>
          </a:extLst>
        </xdr:cNvPr>
        <xdr:cNvSpPr/>
      </xdr:nvSpPr>
      <xdr:spPr>
        <a:xfrm>
          <a:off x="986118" y="38033885"/>
          <a:ext cx="3063688" cy="37435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5. Pourcentage de la SAU non</a:t>
          </a:r>
          <a:r>
            <a:rPr lang="fr-FR" sz="1100" baseline="0"/>
            <a:t> fertilisée</a:t>
          </a:r>
          <a:endParaRPr lang="fr-FR" sz="1100"/>
        </a:p>
      </xdr:txBody>
    </xdr:sp>
    <xdr:clientData/>
  </xdr:twoCellAnchor>
  <xdr:twoCellAnchor>
    <xdr:from>
      <xdr:col>1</xdr:col>
      <xdr:colOff>419100</xdr:colOff>
      <xdr:row>227</xdr:row>
      <xdr:rowOff>15688</xdr:rowOff>
    </xdr:from>
    <xdr:to>
      <xdr:col>6</xdr:col>
      <xdr:colOff>457200</xdr:colOff>
      <xdr:row>229</xdr:row>
      <xdr:rowOff>7363</xdr:rowOff>
    </xdr:to>
    <xdr:sp macro="" textlink="">
      <xdr:nvSpPr>
        <xdr:cNvPr id="8" name="Parallelogram 7">
          <a:extLst>
            <a:ext uri="{FF2B5EF4-FFF2-40B4-BE49-F238E27FC236}">
              <a16:creationId xmlns:a16="http://schemas.microsoft.com/office/drawing/2014/main" id="{00000000-0008-0000-0700-000008000000}"/>
            </a:ext>
          </a:extLst>
        </xdr:cNvPr>
        <xdr:cNvSpPr/>
      </xdr:nvSpPr>
      <xdr:spPr>
        <a:xfrm>
          <a:off x="1024218" y="42631659"/>
          <a:ext cx="3063688" cy="383880"/>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6. Part des légumineuses dans la SAU</a:t>
          </a:r>
        </a:p>
      </xdr:txBody>
    </xdr:sp>
    <xdr:clientData/>
  </xdr:twoCellAnchor>
  <xdr:twoCellAnchor>
    <xdr:from>
      <xdr:col>1</xdr:col>
      <xdr:colOff>361950</xdr:colOff>
      <xdr:row>255</xdr:row>
      <xdr:rowOff>10645</xdr:rowOff>
    </xdr:from>
    <xdr:to>
      <xdr:col>6</xdr:col>
      <xdr:colOff>400050</xdr:colOff>
      <xdr:row>257</xdr:row>
      <xdr:rowOff>11845</xdr:rowOff>
    </xdr:to>
    <xdr:sp macro="" textlink="">
      <xdr:nvSpPr>
        <xdr:cNvPr id="9" name="Parallelogram 8">
          <a:extLst>
            <a:ext uri="{FF2B5EF4-FFF2-40B4-BE49-F238E27FC236}">
              <a16:creationId xmlns:a16="http://schemas.microsoft.com/office/drawing/2014/main" id="{00000000-0008-0000-0700-000009000000}"/>
            </a:ext>
          </a:extLst>
        </xdr:cNvPr>
        <xdr:cNvSpPr/>
      </xdr:nvSpPr>
      <xdr:spPr>
        <a:xfrm>
          <a:off x="967068" y="47792527"/>
          <a:ext cx="3063688" cy="39340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7. Couverture des sols</a:t>
          </a:r>
        </a:p>
      </xdr:txBody>
    </xdr:sp>
    <xdr:clientData/>
  </xdr:twoCellAnchor>
  <xdr:twoCellAnchor>
    <xdr:from>
      <xdr:col>1</xdr:col>
      <xdr:colOff>314323</xdr:colOff>
      <xdr:row>311</xdr:row>
      <xdr:rowOff>183776</xdr:rowOff>
    </xdr:from>
    <xdr:to>
      <xdr:col>9</xdr:col>
      <xdr:colOff>168087</xdr:colOff>
      <xdr:row>314</xdr:row>
      <xdr:rowOff>4001</xdr:rowOff>
    </xdr:to>
    <xdr:sp macro="" textlink="">
      <xdr:nvSpPr>
        <xdr:cNvPr id="10" name="Parallelogram 9">
          <a:extLst>
            <a:ext uri="{FF2B5EF4-FFF2-40B4-BE49-F238E27FC236}">
              <a16:creationId xmlns:a16="http://schemas.microsoft.com/office/drawing/2014/main" id="{00000000-0008-0000-0700-00000A000000}"/>
            </a:ext>
          </a:extLst>
        </xdr:cNvPr>
        <xdr:cNvSpPr/>
      </xdr:nvSpPr>
      <xdr:spPr>
        <a:xfrm>
          <a:off x="919441" y="56179570"/>
          <a:ext cx="4694705" cy="402931"/>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8. Utilisation de matériels optimisant les apports de</a:t>
          </a:r>
          <a:r>
            <a:rPr lang="fr-FR" sz="1100" baseline="0"/>
            <a:t> fertilisants</a:t>
          </a:r>
          <a:endParaRPr lang="fr-FR" sz="1100"/>
        </a:p>
      </xdr:txBody>
    </xdr:sp>
    <xdr:clientData/>
  </xdr:twoCellAnchor>
  <xdr:twoCellAnchor>
    <xdr:from>
      <xdr:col>1</xdr:col>
      <xdr:colOff>266700</xdr:colOff>
      <xdr:row>337</xdr:row>
      <xdr:rowOff>1120</xdr:rowOff>
    </xdr:from>
    <xdr:to>
      <xdr:col>7</xdr:col>
      <xdr:colOff>403411</xdr:colOff>
      <xdr:row>339</xdr:row>
      <xdr:rowOff>21370</xdr:rowOff>
    </xdr:to>
    <xdr:sp macro="" textlink="">
      <xdr:nvSpPr>
        <xdr:cNvPr id="11" name="Parallelogram 10">
          <a:extLst>
            <a:ext uri="{FF2B5EF4-FFF2-40B4-BE49-F238E27FC236}">
              <a16:creationId xmlns:a16="http://schemas.microsoft.com/office/drawing/2014/main" id="{00000000-0008-0000-0700-00000B000000}"/>
            </a:ext>
          </a:extLst>
        </xdr:cNvPr>
        <xdr:cNvSpPr/>
      </xdr:nvSpPr>
      <xdr:spPr>
        <a:xfrm>
          <a:off x="871818" y="60972326"/>
          <a:ext cx="3767417" cy="41245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9. Recyclage et traitement des eaux d'irrigation</a:t>
          </a:r>
        </a:p>
      </xdr:txBody>
    </xdr:sp>
    <xdr:clientData/>
  </xdr:twoCellAnchor>
  <xdr:twoCellAnchor>
    <xdr:from>
      <xdr:col>14</xdr:col>
      <xdr:colOff>416292</xdr:colOff>
      <xdr:row>0</xdr:row>
      <xdr:rowOff>160249</xdr:rowOff>
    </xdr:from>
    <xdr:to>
      <xdr:col>17</xdr:col>
      <xdr:colOff>178692</xdr:colOff>
      <xdr:row>2</xdr:row>
      <xdr:rowOff>27649</xdr:rowOff>
    </xdr:to>
    <xdr:sp macro="" textlink="">
      <xdr:nvSpPr>
        <xdr:cNvPr id="12" name="Parallelogram 11">
          <a:hlinkClick xmlns:r="http://schemas.openxmlformats.org/officeDocument/2006/relationships" r:id="rId3"/>
          <a:extLst>
            <a:ext uri="{FF2B5EF4-FFF2-40B4-BE49-F238E27FC236}">
              <a16:creationId xmlns:a16="http://schemas.microsoft.com/office/drawing/2014/main" id="{00000000-0008-0000-0700-00000C000000}"/>
            </a:ext>
          </a:extLst>
        </xdr:cNvPr>
        <xdr:cNvSpPr/>
      </xdr:nvSpPr>
      <xdr:spPr>
        <a:xfrm>
          <a:off x="8887939" y="160249"/>
          <a:ext cx="1577753"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Recyclage</a:t>
          </a:r>
          <a:r>
            <a:rPr lang="fr-FR" sz="1100" b="1" baseline="0">
              <a:solidFill>
                <a:schemeClr val="accent1">
                  <a:lumMod val="50000"/>
                </a:schemeClr>
              </a:solidFill>
            </a:rPr>
            <a:t> eaux</a:t>
          </a:r>
          <a:endParaRPr lang="fr-FR" sz="1100" b="1">
            <a:solidFill>
              <a:schemeClr val="accent1">
                <a:lumMod val="50000"/>
              </a:schemeClr>
            </a:solidFill>
          </a:endParaRPr>
        </a:p>
      </xdr:txBody>
    </xdr:sp>
    <xdr:clientData/>
  </xdr:twoCellAnchor>
  <xdr:twoCellAnchor>
    <xdr:from>
      <xdr:col>11</xdr:col>
      <xdr:colOff>426519</xdr:colOff>
      <xdr:row>2</xdr:row>
      <xdr:rowOff>154081</xdr:rowOff>
    </xdr:from>
    <xdr:to>
      <xdr:col>14</xdr:col>
      <xdr:colOff>188919</xdr:colOff>
      <xdr:row>4</xdr:row>
      <xdr:rowOff>21481</xdr:rowOff>
    </xdr:to>
    <xdr:sp macro="" textlink="">
      <xdr:nvSpPr>
        <xdr:cNvPr id="13" name="Parallelogram 12">
          <a:hlinkClick xmlns:r="http://schemas.openxmlformats.org/officeDocument/2006/relationships" r:id="rId4"/>
          <a:extLst>
            <a:ext uri="{FF2B5EF4-FFF2-40B4-BE49-F238E27FC236}">
              <a16:creationId xmlns:a16="http://schemas.microsoft.com/office/drawing/2014/main" id="{00000000-0008-0000-0700-00000D000000}"/>
            </a:ext>
          </a:extLst>
        </xdr:cNvPr>
        <xdr:cNvSpPr/>
      </xdr:nvSpPr>
      <xdr:spPr>
        <a:xfrm>
          <a:off x="7082813" y="535081"/>
          <a:ext cx="1577753"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Mat. fertilisants</a:t>
          </a:r>
        </a:p>
      </xdr:txBody>
    </xdr:sp>
    <xdr:clientData/>
  </xdr:twoCellAnchor>
  <xdr:twoCellAnchor>
    <xdr:from>
      <xdr:col>8</xdr:col>
      <xdr:colOff>436746</xdr:colOff>
      <xdr:row>0</xdr:row>
      <xdr:rowOff>160249</xdr:rowOff>
    </xdr:from>
    <xdr:to>
      <xdr:col>11</xdr:col>
      <xdr:colOff>199146</xdr:colOff>
      <xdr:row>2</xdr:row>
      <xdr:rowOff>27649</xdr:rowOff>
    </xdr:to>
    <xdr:sp macro="" textlink="">
      <xdr:nvSpPr>
        <xdr:cNvPr id="14" name="Parallelogram 13">
          <a:hlinkClick xmlns:r="http://schemas.openxmlformats.org/officeDocument/2006/relationships" r:id="rId5"/>
          <a:extLst>
            <a:ext uri="{FF2B5EF4-FFF2-40B4-BE49-F238E27FC236}">
              <a16:creationId xmlns:a16="http://schemas.microsoft.com/office/drawing/2014/main" id="{00000000-0008-0000-0700-00000E000000}"/>
            </a:ext>
          </a:extLst>
        </xdr:cNvPr>
        <xdr:cNvSpPr/>
      </xdr:nvSpPr>
      <xdr:spPr>
        <a:xfrm>
          <a:off x="5277687" y="160249"/>
          <a:ext cx="1577753"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SAU</a:t>
          </a:r>
          <a:r>
            <a:rPr lang="fr-FR" sz="1100" b="1" baseline="0">
              <a:solidFill>
                <a:schemeClr val="accent1">
                  <a:lumMod val="50000"/>
                </a:schemeClr>
              </a:solidFill>
            </a:rPr>
            <a:t> non fertilisée</a:t>
          </a:r>
          <a:endParaRPr lang="fr-FR" sz="1100" b="1">
            <a:solidFill>
              <a:schemeClr val="accent1">
                <a:lumMod val="50000"/>
              </a:schemeClr>
            </a:solidFill>
          </a:endParaRPr>
        </a:p>
      </xdr:txBody>
    </xdr:sp>
    <xdr:clientData/>
  </xdr:twoCellAnchor>
  <xdr:twoCellAnchor>
    <xdr:from>
      <xdr:col>8</xdr:col>
      <xdr:colOff>436746</xdr:colOff>
      <xdr:row>2</xdr:row>
      <xdr:rowOff>154081</xdr:rowOff>
    </xdr:from>
    <xdr:to>
      <xdr:col>11</xdr:col>
      <xdr:colOff>199146</xdr:colOff>
      <xdr:row>4</xdr:row>
      <xdr:rowOff>21481</xdr:rowOff>
    </xdr:to>
    <xdr:sp macro="" textlink="">
      <xdr:nvSpPr>
        <xdr:cNvPr id="15" name="Parallelogram 14">
          <a:hlinkClick xmlns:r="http://schemas.openxmlformats.org/officeDocument/2006/relationships" r:id="rId6"/>
          <a:extLst>
            <a:ext uri="{FF2B5EF4-FFF2-40B4-BE49-F238E27FC236}">
              <a16:creationId xmlns:a16="http://schemas.microsoft.com/office/drawing/2014/main" id="{00000000-0008-0000-0700-00000F000000}"/>
            </a:ext>
          </a:extLst>
        </xdr:cNvPr>
        <xdr:cNvSpPr/>
      </xdr:nvSpPr>
      <xdr:spPr>
        <a:xfrm>
          <a:off x="5277687" y="535081"/>
          <a:ext cx="1577753"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Légumineuses</a:t>
          </a:r>
        </a:p>
      </xdr:txBody>
    </xdr:sp>
    <xdr:clientData/>
  </xdr:twoCellAnchor>
  <xdr:twoCellAnchor>
    <xdr:from>
      <xdr:col>11</xdr:col>
      <xdr:colOff>426519</xdr:colOff>
      <xdr:row>0</xdr:row>
      <xdr:rowOff>160249</xdr:rowOff>
    </xdr:from>
    <xdr:to>
      <xdr:col>14</xdr:col>
      <xdr:colOff>188919</xdr:colOff>
      <xdr:row>2</xdr:row>
      <xdr:rowOff>27649</xdr:rowOff>
    </xdr:to>
    <xdr:sp macro="" textlink="">
      <xdr:nvSpPr>
        <xdr:cNvPr id="16" name="Parallelogram 15">
          <a:hlinkClick xmlns:r="http://schemas.openxmlformats.org/officeDocument/2006/relationships" r:id="rId7"/>
          <a:extLst>
            <a:ext uri="{FF2B5EF4-FFF2-40B4-BE49-F238E27FC236}">
              <a16:creationId xmlns:a16="http://schemas.microsoft.com/office/drawing/2014/main" id="{00000000-0008-0000-0700-000010000000}"/>
            </a:ext>
          </a:extLst>
        </xdr:cNvPr>
        <xdr:cNvSpPr/>
      </xdr:nvSpPr>
      <xdr:spPr>
        <a:xfrm>
          <a:off x="7082813" y="160249"/>
          <a:ext cx="1577753"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Couverture</a:t>
          </a:r>
        </a:p>
      </xdr:txBody>
    </xdr:sp>
    <xdr:clientData/>
  </xdr:twoCellAnchor>
  <xdr:twoCellAnchor>
    <xdr:from>
      <xdr:col>2</xdr:col>
      <xdr:colOff>457200</xdr:colOff>
      <xdr:row>2</xdr:row>
      <xdr:rowOff>154081</xdr:rowOff>
    </xdr:from>
    <xdr:to>
      <xdr:col>5</xdr:col>
      <xdr:colOff>219600</xdr:colOff>
      <xdr:row>4</xdr:row>
      <xdr:rowOff>21481</xdr:rowOff>
    </xdr:to>
    <xdr:sp macro="" textlink="">
      <xdr:nvSpPr>
        <xdr:cNvPr id="17" name="Parallelogram 16">
          <a:hlinkClick xmlns:r="http://schemas.openxmlformats.org/officeDocument/2006/relationships" r:id="rId8"/>
          <a:extLst>
            <a:ext uri="{FF2B5EF4-FFF2-40B4-BE49-F238E27FC236}">
              <a16:creationId xmlns:a16="http://schemas.microsoft.com/office/drawing/2014/main" id="{00000000-0008-0000-0700-000011000000}"/>
            </a:ext>
          </a:extLst>
        </xdr:cNvPr>
        <xdr:cNvSpPr/>
      </xdr:nvSpPr>
      <xdr:spPr>
        <a:xfrm>
          <a:off x="1667435" y="535081"/>
          <a:ext cx="1577753"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Qté apportée</a:t>
          </a:r>
        </a:p>
      </xdr:txBody>
    </xdr:sp>
    <xdr:clientData/>
  </xdr:twoCellAnchor>
  <xdr:twoCellAnchor>
    <xdr:from>
      <xdr:col>5</xdr:col>
      <xdr:colOff>446973</xdr:colOff>
      <xdr:row>0</xdr:row>
      <xdr:rowOff>160249</xdr:rowOff>
    </xdr:from>
    <xdr:to>
      <xdr:col>8</xdr:col>
      <xdr:colOff>209373</xdr:colOff>
      <xdr:row>2</xdr:row>
      <xdr:rowOff>27649</xdr:rowOff>
    </xdr:to>
    <xdr:sp macro="" textlink="">
      <xdr:nvSpPr>
        <xdr:cNvPr id="18" name="Parallelogram 17">
          <a:hlinkClick xmlns:r="http://schemas.openxmlformats.org/officeDocument/2006/relationships" r:id="rId9"/>
          <a:extLst>
            <a:ext uri="{FF2B5EF4-FFF2-40B4-BE49-F238E27FC236}">
              <a16:creationId xmlns:a16="http://schemas.microsoft.com/office/drawing/2014/main" id="{00000000-0008-0000-0700-000012000000}"/>
            </a:ext>
          </a:extLst>
        </xdr:cNvPr>
        <xdr:cNvSpPr/>
      </xdr:nvSpPr>
      <xdr:spPr>
        <a:xfrm>
          <a:off x="3472561" y="160249"/>
          <a:ext cx="1577753"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Azote organique</a:t>
          </a:r>
        </a:p>
      </xdr:txBody>
    </xdr:sp>
    <xdr:clientData/>
  </xdr:twoCellAnchor>
  <xdr:twoCellAnchor>
    <xdr:from>
      <xdr:col>5</xdr:col>
      <xdr:colOff>446973</xdr:colOff>
      <xdr:row>2</xdr:row>
      <xdr:rowOff>154081</xdr:rowOff>
    </xdr:from>
    <xdr:to>
      <xdr:col>8</xdr:col>
      <xdr:colOff>209373</xdr:colOff>
      <xdr:row>4</xdr:row>
      <xdr:rowOff>21481</xdr:rowOff>
    </xdr:to>
    <xdr:sp macro="" textlink="">
      <xdr:nvSpPr>
        <xdr:cNvPr id="19" name="Parallelogram 18">
          <a:hlinkClick xmlns:r="http://schemas.openxmlformats.org/officeDocument/2006/relationships" r:id="rId10"/>
          <a:extLst>
            <a:ext uri="{FF2B5EF4-FFF2-40B4-BE49-F238E27FC236}">
              <a16:creationId xmlns:a16="http://schemas.microsoft.com/office/drawing/2014/main" id="{00000000-0008-0000-0700-000013000000}"/>
            </a:ext>
          </a:extLst>
        </xdr:cNvPr>
        <xdr:cNvSpPr/>
      </xdr:nvSpPr>
      <xdr:spPr>
        <a:xfrm>
          <a:off x="3472561" y="535081"/>
          <a:ext cx="1577753"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OAD</a:t>
          </a:r>
        </a:p>
      </xdr:txBody>
    </xdr:sp>
    <xdr:clientData/>
  </xdr:twoCellAnchor>
  <xdr:twoCellAnchor>
    <xdr:from>
      <xdr:col>2</xdr:col>
      <xdr:colOff>457200</xdr:colOff>
      <xdr:row>0</xdr:row>
      <xdr:rowOff>160249</xdr:rowOff>
    </xdr:from>
    <xdr:to>
      <xdr:col>5</xdr:col>
      <xdr:colOff>219600</xdr:colOff>
      <xdr:row>2</xdr:row>
      <xdr:rowOff>27649</xdr:rowOff>
    </xdr:to>
    <xdr:sp macro="" textlink="">
      <xdr:nvSpPr>
        <xdr:cNvPr id="20" name="Parallelogram 19">
          <a:hlinkClick xmlns:r="http://schemas.openxmlformats.org/officeDocument/2006/relationships" r:id="rId11"/>
          <a:extLst>
            <a:ext uri="{FF2B5EF4-FFF2-40B4-BE49-F238E27FC236}">
              <a16:creationId xmlns:a16="http://schemas.microsoft.com/office/drawing/2014/main" id="{00000000-0008-0000-0700-000014000000}"/>
            </a:ext>
          </a:extLst>
        </xdr:cNvPr>
        <xdr:cNvSpPr/>
      </xdr:nvSpPr>
      <xdr:spPr>
        <a:xfrm>
          <a:off x="1667435" y="160249"/>
          <a:ext cx="1577753"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Bilan azoté</a:t>
          </a:r>
        </a:p>
      </xdr:txBody>
    </xdr:sp>
    <xdr:clientData/>
  </xdr:twoCellAnchor>
  <xdr:twoCellAnchor>
    <xdr:from>
      <xdr:col>1</xdr:col>
      <xdr:colOff>359834</xdr:colOff>
      <xdr:row>365</xdr:row>
      <xdr:rowOff>8715</xdr:rowOff>
    </xdr:from>
    <xdr:to>
      <xdr:col>6</xdr:col>
      <xdr:colOff>354355</xdr:colOff>
      <xdr:row>367</xdr:row>
      <xdr:rowOff>21744</xdr:rowOff>
    </xdr:to>
    <xdr:sp macro="" textlink="">
      <xdr:nvSpPr>
        <xdr:cNvPr id="21" name="Parallelogram 20">
          <a:extLst>
            <a:ext uri="{FF2B5EF4-FFF2-40B4-BE49-F238E27FC236}">
              <a16:creationId xmlns:a16="http://schemas.microsoft.com/office/drawing/2014/main" id="{00000000-0008-0000-0700-000015000000}"/>
            </a:ext>
          </a:extLst>
        </xdr:cNvPr>
        <xdr:cNvSpPr/>
      </xdr:nvSpPr>
      <xdr:spPr>
        <a:xfrm>
          <a:off x="964952" y="66336333"/>
          <a:ext cx="3020109" cy="405235"/>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Récapitulatif de l'indicateur</a:t>
          </a:r>
        </a:p>
      </xdr:txBody>
    </xdr:sp>
    <xdr:clientData/>
  </xdr:twoCellAnchor>
  <xdr:twoCellAnchor>
    <xdr:from>
      <xdr:col>14</xdr:col>
      <xdr:colOff>416292</xdr:colOff>
      <xdr:row>2</xdr:row>
      <xdr:rowOff>154081</xdr:rowOff>
    </xdr:from>
    <xdr:to>
      <xdr:col>17</xdr:col>
      <xdr:colOff>178692</xdr:colOff>
      <xdr:row>4</xdr:row>
      <xdr:rowOff>21481</xdr:rowOff>
    </xdr:to>
    <xdr:sp macro="" textlink="">
      <xdr:nvSpPr>
        <xdr:cNvPr id="22" name="Parallelogram 21">
          <a:hlinkClick xmlns:r="http://schemas.openxmlformats.org/officeDocument/2006/relationships" r:id="rId12"/>
          <a:extLst>
            <a:ext uri="{FF2B5EF4-FFF2-40B4-BE49-F238E27FC236}">
              <a16:creationId xmlns:a16="http://schemas.microsoft.com/office/drawing/2014/main" id="{00000000-0008-0000-0700-000016000000}"/>
            </a:ext>
          </a:extLst>
        </xdr:cNvPr>
        <xdr:cNvSpPr/>
      </xdr:nvSpPr>
      <xdr:spPr>
        <a:xfrm>
          <a:off x="8887939" y="535081"/>
          <a:ext cx="1577753"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Récapitulatif</a:t>
          </a:r>
        </a:p>
      </xdr:txBody>
    </xdr:sp>
    <xdr:clientData/>
  </xdr:twoCellAnchor>
  <xdr:twoCellAnchor>
    <xdr:from>
      <xdr:col>1</xdr:col>
      <xdr:colOff>266700</xdr:colOff>
      <xdr:row>337</xdr:row>
      <xdr:rowOff>1120</xdr:rowOff>
    </xdr:from>
    <xdr:to>
      <xdr:col>7</xdr:col>
      <xdr:colOff>403411</xdr:colOff>
      <xdr:row>339</xdr:row>
      <xdr:rowOff>21370</xdr:rowOff>
    </xdr:to>
    <xdr:sp macro="" textlink="">
      <xdr:nvSpPr>
        <xdr:cNvPr id="23" name="Parallelogram 10">
          <a:extLst>
            <a:ext uri="{FF2B5EF4-FFF2-40B4-BE49-F238E27FC236}">
              <a16:creationId xmlns:a16="http://schemas.microsoft.com/office/drawing/2014/main" id="{256C415F-A84D-4064-A306-1677D034FD56}"/>
            </a:ext>
          </a:extLst>
        </xdr:cNvPr>
        <xdr:cNvSpPr/>
      </xdr:nvSpPr>
      <xdr:spPr>
        <a:xfrm>
          <a:off x="891540" y="60892540"/>
          <a:ext cx="3885751" cy="393630"/>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9. Recyclage et traitement des eaux d'irrigation</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243730</xdr:colOff>
      <xdr:row>0</xdr:row>
      <xdr:rowOff>57397</xdr:rowOff>
    </xdr:from>
    <xdr:to>
      <xdr:col>2</xdr:col>
      <xdr:colOff>149916</xdr:colOff>
      <xdr:row>4</xdr:row>
      <xdr:rowOff>139627</xdr:rowOff>
    </xdr:to>
    <xdr:pic>
      <xdr:nvPicPr>
        <xdr:cNvPr id="22" name="Image 21">
          <a:hlinkClick xmlns:r="http://schemas.openxmlformats.org/officeDocument/2006/relationships" r:id="rId1"/>
          <a:extLst>
            <a:ext uri="{FF2B5EF4-FFF2-40B4-BE49-F238E27FC236}">
              <a16:creationId xmlns:a16="http://schemas.microsoft.com/office/drawing/2014/main" id="{00000000-0008-0000-0800-00001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43730" y="57397"/>
          <a:ext cx="1163486" cy="8061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243729</xdr:colOff>
      <xdr:row>6</xdr:row>
      <xdr:rowOff>31376</xdr:rowOff>
    </xdr:from>
    <xdr:to>
      <xdr:col>6</xdr:col>
      <xdr:colOff>281829</xdr:colOff>
      <xdr:row>7</xdr:row>
      <xdr:rowOff>165926</xdr:rowOff>
    </xdr:to>
    <xdr:sp macro="" textlink="">
      <xdr:nvSpPr>
        <xdr:cNvPr id="3" name="Parallelogram 2">
          <a:extLst>
            <a:ext uri="{FF2B5EF4-FFF2-40B4-BE49-F238E27FC236}">
              <a16:creationId xmlns:a16="http://schemas.microsoft.com/office/drawing/2014/main" id="{00000000-0008-0000-0800-000003000000}"/>
            </a:ext>
          </a:extLst>
        </xdr:cNvPr>
        <xdr:cNvSpPr/>
      </xdr:nvSpPr>
      <xdr:spPr>
        <a:xfrm>
          <a:off x="848847" y="1174376"/>
          <a:ext cx="3063688" cy="33625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aseline="0"/>
            <a:t> Informations préalables</a:t>
          </a:r>
          <a:endParaRPr lang="fr-FR" sz="1100"/>
        </a:p>
      </xdr:txBody>
    </xdr:sp>
    <xdr:clientData/>
  </xdr:twoCellAnchor>
  <xdr:twoCellAnchor>
    <xdr:from>
      <xdr:col>1</xdr:col>
      <xdr:colOff>276224</xdr:colOff>
      <xdr:row>18</xdr:row>
      <xdr:rowOff>36419</xdr:rowOff>
    </xdr:from>
    <xdr:to>
      <xdr:col>7</xdr:col>
      <xdr:colOff>304799</xdr:colOff>
      <xdr:row>19</xdr:row>
      <xdr:rowOff>180494</xdr:rowOff>
    </xdr:to>
    <xdr:sp macro="" textlink="">
      <xdr:nvSpPr>
        <xdr:cNvPr id="4" name="Parallelogram 3">
          <a:extLst>
            <a:ext uri="{FF2B5EF4-FFF2-40B4-BE49-F238E27FC236}">
              <a16:creationId xmlns:a16="http://schemas.microsoft.com/office/drawing/2014/main" id="{00000000-0008-0000-0800-000004000000}"/>
            </a:ext>
          </a:extLst>
        </xdr:cNvPr>
        <xdr:cNvSpPr/>
      </xdr:nvSpPr>
      <xdr:spPr>
        <a:xfrm>
          <a:off x="881342" y="3487831"/>
          <a:ext cx="3659281" cy="345781"/>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aseline="0"/>
            <a:t> 1. Enregistrement des pratiques d'irrigation</a:t>
          </a:r>
          <a:endParaRPr lang="fr-FR" sz="1100"/>
        </a:p>
      </xdr:txBody>
    </xdr:sp>
    <xdr:clientData/>
  </xdr:twoCellAnchor>
  <xdr:twoCellAnchor>
    <xdr:from>
      <xdr:col>1</xdr:col>
      <xdr:colOff>285750</xdr:colOff>
      <xdr:row>68</xdr:row>
      <xdr:rowOff>21851</xdr:rowOff>
    </xdr:from>
    <xdr:to>
      <xdr:col>10</xdr:col>
      <xdr:colOff>414618</xdr:colOff>
      <xdr:row>69</xdr:row>
      <xdr:rowOff>175451</xdr:rowOff>
    </xdr:to>
    <xdr:sp macro="" textlink="">
      <xdr:nvSpPr>
        <xdr:cNvPr id="5" name="Parallelogram 4">
          <a:extLst>
            <a:ext uri="{FF2B5EF4-FFF2-40B4-BE49-F238E27FC236}">
              <a16:creationId xmlns:a16="http://schemas.microsoft.com/office/drawing/2014/main" id="{00000000-0008-0000-0800-000005000000}"/>
            </a:ext>
          </a:extLst>
        </xdr:cNvPr>
        <xdr:cNvSpPr/>
      </xdr:nvSpPr>
      <xdr:spPr>
        <a:xfrm>
          <a:off x="890868" y="13020675"/>
          <a:ext cx="5574926" cy="355305"/>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aseline="0"/>
            <a:t> 2. Utilisation d'outils de mesure fournissant des données pour la décision</a:t>
          </a:r>
          <a:endParaRPr lang="fr-FR" sz="1100"/>
        </a:p>
      </xdr:txBody>
    </xdr:sp>
    <xdr:clientData/>
  </xdr:twoCellAnchor>
  <xdr:twoCellAnchor>
    <xdr:from>
      <xdr:col>1</xdr:col>
      <xdr:colOff>314324</xdr:colOff>
      <xdr:row>104</xdr:row>
      <xdr:rowOff>23532</xdr:rowOff>
    </xdr:from>
    <xdr:to>
      <xdr:col>8</xdr:col>
      <xdr:colOff>280146</xdr:colOff>
      <xdr:row>105</xdr:row>
      <xdr:rowOff>186657</xdr:rowOff>
    </xdr:to>
    <xdr:sp macro="" textlink="">
      <xdr:nvSpPr>
        <xdr:cNvPr id="6" name="Parallelogram 5">
          <a:extLst>
            <a:ext uri="{FF2B5EF4-FFF2-40B4-BE49-F238E27FC236}">
              <a16:creationId xmlns:a16="http://schemas.microsoft.com/office/drawing/2014/main" id="{00000000-0008-0000-0800-000006000000}"/>
            </a:ext>
          </a:extLst>
        </xdr:cNvPr>
        <xdr:cNvSpPr/>
      </xdr:nvSpPr>
      <xdr:spPr>
        <a:xfrm>
          <a:off x="919442" y="19902767"/>
          <a:ext cx="4201645" cy="364831"/>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aseline="0"/>
            <a:t>3. Utilisation de matériels optimisant les apports d'eau</a:t>
          </a:r>
          <a:endParaRPr lang="fr-FR" sz="1100"/>
        </a:p>
      </xdr:txBody>
    </xdr:sp>
    <xdr:clientData/>
  </xdr:twoCellAnchor>
  <xdr:twoCellAnchor>
    <xdr:from>
      <xdr:col>1</xdr:col>
      <xdr:colOff>238126</xdr:colOff>
      <xdr:row>128</xdr:row>
      <xdr:rowOff>20170</xdr:rowOff>
    </xdr:from>
    <xdr:to>
      <xdr:col>6</xdr:col>
      <xdr:colOff>542926</xdr:colOff>
      <xdr:row>130</xdr:row>
      <xdr:rowOff>2320</xdr:rowOff>
    </xdr:to>
    <xdr:sp macro="" textlink="">
      <xdr:nvSpPr>
        <xdr:cNvPr id="7" name="Parallelogram 6">
          <a:extLst>
            <a:ext uri="{FF2B5EF4-FFF2-40B4-BE49-F238E27FC236}">
              <a16:creationId xmlns:a16="http://schemas.microsoft.com/office/drawing/2014/main" id="{00000000-0008-0000-0800-000007000000}"/>
            </a:ext>
          </a:extLst>
        </xdr:cNvPr>
        <xdr:cNvSpPr/>
      </xdr:nvSpPr>
      <xdr:spPr>
        <a:xfrm>
          <a:off x="843244" y="24493817"/>
          <a:ext cx="3330388" cy="37435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aseline="0"/>
            <a:t>4. Adhésion à une démarche collective</a:t>
          </a:r>
          <a:endParaRPr lang="fr-FR" sz="1100"/>
        </a:p>
      </xdr:txBody>
    </xdr:sp>
    <xdr:clientData/>
  </xdr:twoCellAnchor>
  <xdr:twoCellAnchor>
    <xdr:from>
      <xdr:col>1</xdr:col>
      <xdr:colOff>257175</xdr:colOff>
      <xdr:row>149</xdr:row>
      <xdr:rowOff>19050</xdr:rowOff>
    </xdr:from>
    <xdr:to>
      <xdr:col>9</xdr:col>
      <xdr:colOff>447675</xdr:colOff>
      <xdr:row>151</xdr:row>
      <xdr:rowOff>10725</xdr:rowOff>
    </xdr:to>
    <xdr:sp macro="" textlink="">
      <xdr:nvSpPr>
        <xdr:cNvPr id="8" name="Parallelogram 7">
          <a:extLst>
            <a:ext uri="{FF2B5EF4-FFF2-40B4-BE49-F238E27FC236}">
              <a16:creationId xmlns:a16="http://schemas.microsoft.com/office/drawing/2014/main" id="{00000000-0008-0000-0800-000008000000}"/>
            </a:ext>
          </a:extLst>
        </xdr:cNvPr>
        <xdr:cNvSpPr/>
      </xdr:nvSpPr>
      <xdr:spPr>
        <a:xfrm>
          <a:off x="862293" y="22991109"/>
          <a:ext cx="5031441" cy="383881"/>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aseline="0"/>
            <a:t>5. Pratiques agronomiques mises en oeuvre pour économiser l'eau</a:t>
          </a:r>
          <a:endParaRPr lang="fr-FR" sz="1100"/>
        </a:p>
      </xdr:txBody>
    </xdr:sp>
    <xdr:clientData/>
  </xdr:twoCellAnchor>
  <xdr:twoCellAnchor>
    <xdr:from>
      <xdr:col>1</xdr:col>
      <xdr:colOff>361950</xdr:colOff>
      <xdr:row>171</xdr:row>
      <xdr:rowOff>7283</xdr:rowOff>
    </xdr:from>
    <xdr:to>
      <xdr:col>7</xdr:col>
      <xdr:colOff>361950</xdr:colOff>
      <xdr:row>173</xdr:row>
      <xdr:rowOff>8483</xdr:rowOff>
    </xdr:to>
    <xdr:sp macro="" textlink="">
      <xdr:nvSpPr>
        <xdr:cNvPr id="9" name="Parallelogram 8">
          <a:extLst>
            <a:ext uri="{FF2B5EF4-FFF2-40B4-BE49-F238E27FC236}">
              <a16:creationId xmlns:a16="http://schemas.microsoft.com/office/drawing/2014/main" id="{00000000-0008-0000-0800-000009000000}"/>
            </a:ext>
          </a:extLst>
        </xdr:cNvPr>
        <xdr:cNvSpPr/>
      </xdr:nvSpPr>
      <xdr:spPr>
        <a:xfrm>
          <a:off x="967068" y="31574254"/>
          <a:ext cx="3630706" cy="393405"/>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aseline="0"/>
            <a:t>6. Part des prélèvements en période d'étiage</a:t>
          </a:r>
          <a:endParaRPr lang="fr-FR" sz="1100"/>
        </a:p>
      </xdr:txBody>
    </xdr:sp>
    <xdr:clientData/>
  </xdr:twoCellAnchor>
  <xdr:twoCellAnchor>
    <xdr:from>
      <xdr:col>1</xdr:col>
      <xdr:colOff>247650</xdr:colOff>
      <xdr:row>202</xdr:row>
      <xdr:rowOff>19050</xdr:rowOff>
    </xdr:from>
    <xdr:to>
      <xdr:col>7</xdr:col>
      <xdr:colOff>247650</xdr:colOff>
      <xdr:row>204</xdr:row>
      <xdr:rowOff>29775</xdr:rowOff>
    </xdr:to>
    <xdr:sp macro="" textlink="">
      <xdr:nvSpPr>
        <xdr:cNvPr id="10" name="Parallelogram 9">
          <a:extLst>
            <a:ext uri="{FF2B5EF4-FFF2-40B4-BE49-F238E27FC236}">
              <a16:creationId xmlns:a16="http://schemas.microsoft.com/office/drawing/2014/main" id="{00000000-0008-0000-0800-00000A000000}"/>
            </a:ext>
          </a:extLst>
        </xdr:cNvPr>
        <xdr:cNvSpPr/>
      </xdr:nvSpPr>
      <xdr:spPr>
        <a:xfrm>
          <a:off x="852768" y="31608432"/>
          <a:ext cx="3630706" cy="402931"/>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aseline="0"/>
            <a:t>7. Recyclage et traitement des eaux d'irrigation</a:t>
          </a:r>
          <a:endParaRPr lang="fr-FR" sz="1100"/>
        </a:p>
      </xdr:txBody>
    </xdr:sp>
    <xdr:clientData/>
  </xdr:twoCellAnchor>
  <xdr:twoCellAnchor>
    <xdr:from>
      <xdr:col>1</xdr:col>
      <xdr:colOff>333375</xdr:colOff>
      <xdr:row>230</xdr:row>
      <xdr:rowOff>189939</xdr:rowOff>
    </xdr:from>
    <xdr:to>
      <xdr:col>7</xdr:col>
      <xdr:colOff>38100</xdr:colOff>
      <xdr:row>233</xdr:row>
      <xdr:rowOff>19689</xdr:rowOff>
    </xdr:to>
    <xdr:sp macro="" textlink="">
      <xdr:nvSpPr>
        <xdr:cNvPr id="11" name="Parallelogram 10">
          <a:extLst>
            <a:ext uri="{FF2B5EF4-FFF2-40B4-BE49-F238E27FC236}">
              <a16:creationId xmlns:a16="http://schemas.microsoft.com/office/drawing/2014/main" id="{00000000-0008-0000-0800-00000B000000}"/>
            </a:ext>
          </a:extLst>
        </xdr:cNvPr>
        <xdr:cNvSpPr/>
      </xdr:nvSpPr>
      <xdr:spPr>
        <a:xfrm>
          <a:off x="938493" y="43041233"/>
          <a:ext cx="3335431" cy="41245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aseline="0"/>
            <a:t>8. Récupération des eaux de pluie</a:t>
          </a:r>
          <a:endParaRPr lang="fr-FR" sz="1100"/>
        </a:p>
      </xdr:txBody>
    </xdr:sp>
    <xdr:clientData/>
  </xdr:twoCellAnchor>
  <xdr:twoCellAnchor>
    <xdr:from>
      <xdr:col>2</xdr:col>
      <xdr:colOff>581024</xdr:colOff>
      <xdr:row>0</xdr:row>
      <xdr:rowOff>133350</xdr:rowOff>
    </xdr:from>
    <xdr:to>
      <xdr:col>5</xdr:col>
      <xdr:colOff>565671</xdr:colOff>
      <xdr:row>2</xdr:row>
      <xdr:rowOff>750</xdr:rowOff>
    </xdr:to>
    <xdr:sp macro="" textlink="">
      <xdr:nvSpPr>
        <xdr:cNvPr id="12" name="Parallelogram 11">
          <a:hlinkClick xmlns:r="http://schemas.openxmlformats.org/officeDocument/2006/relationships" r:id="rId3"/>
          <a:extLst>
            <a:ext uri="{FF2B5EF4-FFF2-40B4-BE49-F238E27FC236}">
              <a16:creationId xmlns:a16="http://schemas.microsoft.com/office/drawing/2014/main" id="{00000000-0008-0000-0800-00000C000000}"/>
            </a:ext>
          </a:extLst>
        </xdr:cNvPr>
        <xdr:cNvSpPr/>
      </xdr:nvSpPr>
      <xdr:spPr>
        <a:xfrm>
          <a:off x="1791259" y="133350"/>
          <a:ext cx="1800000"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baseline="0">
              <a:solidFill>
                <a:schemeClr val="accent1">
                  <a:lumMod val="50000"/>
                </a:schemeClr>
              </a:solidFill>
            </a:rPr>
            <a:t> Enregistrement</a:t>
          </a:r>
          <a:endParaRPr lang="fr-FR" sz="1100" b="1">
            <a:solidFill>
              <a:schemeClr val="accent1">
                <a:lumMod val="50000"/>
              </a:schemeClr>
            </a:solidFill>
          </a:endParaRPr>
        </a:p>
      </xdr:txBody>
    </xdr:sp>
    <xdr:clientData/>
  </xdr:twoCellAnchor>
  <xdr:twoCellAnchor>
    <xdr:from>
      <xdr:col>2</xdr:col>
      <xdr:colOff>581024</xdr:colOff>
      <xdr:row>2</xdr:row>
      <xdr:rowOff>142875</xdr:rowOff>
    </xdr:from>
    <xdr:to>
      <xdr:col>5</xdr:col>
      <xdr:colOff>565671</xdr:colOff>
      <xdr:row>4</xdr:row>
      <xdr:rowOff>10275</xdr:rowOff>
    </xdr:to>
    <xdr:sp macro="" textlink="">
      <xdr:nvSpPr>
        <xdr:cNvPr id="13" name="Parallelogram 12">
          <a:hlinkClick xmlns:r="http://schemas.openxmlformats.org/officeDocument/2006/relationships" r:id="rId4"/>
          <a:extLst>
            <a:ext uri="{FF2B5EF4-FFF2-40B4-BE49-F238E27FC236}">
              <a16:creationId xmlns:a16="http://schemas.microsoft.com/office/drawing/2014/main" id="{00000000-0008-0000-0800-00000D000000}"/>
            </a:ext>
          </a:extLst>
        </xdr:cNvPr>
        <xdr:cNvSpPr/>
      </xdr:nvSpPr>
      <xdr:spPr>
        <a:xfrm>
          <a:off x="1791259" y="523875"/>
          <a:ext cx="1800000"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baseline="0">
              <a:solidFill>
                <a:schemeClr val="accent1">
                  <a:lumMod val="50000"/>
                </a:schemeClr>
              </a:solidFill>
            </a:rPr>
            <a:t>Outils de mesure</a:t>
          </a:r>
          <a:endParaRPr lang="fr-FR" sz="1100" b="1">
            <a:solidFill>
              <a:schemeClr val="accent1">
                <a:lumMod val="50000"/>
              </a:schemeClr>
            </a:solidFill>
          </a:endParaRPr>
        </a:p>
      </xdr:txBody>
    </xdr:sp>
    <xdr:clientData/>
  </xdr:twoCellAnchor>
  <xdr:twoCellAnchor>
    <xdr:from>
      <xdr:col>6</xdr:col>
      <xdr:colOff>371</xdr:colOff>
      <xdr:row>0</xdr:row>
      <xdr:rowOff>133350</xdr:rowOff>
    </xdr:from>
    <xdr:to>
      <xdr:col>8</xdr:col>
      <xdr:colOff>590136</xdr:colOff>
      <xdr:row>2</xdr:row>
      <xdr:rowOff>750</xdr:rowOff>
    </xdr:to>
    <xdr:sp macro="" textlink="">
      <xdr:nvSpPr>
        <xdr:cNvPr id="14" name="Parallelogram 13">
          <a:hlinkClick xmlns:r="http://schemas.openxmlformats.org/officeDocument/2006/relationships" r:id="rId5"/>
          <a:extLst>
            <a:ext uri="{FF2B5EF4-FFF2-40B4-BE49-F238E27FC236}">
              <a16:creationId xmlns:a16="http://schemas.microsoft.com/office/drawing/2014/main" id="{00000000-0008-0000-0800-00000E000000}"/>
            </a:ext>
          </a:extLst>
        </xdr:cNvPr>
        <xdr:cNvSpPr/>
      </xdr:nvSpPr>
      <xdr:spPr>
        <a:xfrm>
          <a:off x="3631077" y="133350"/>
          <a:ext cx="1800000"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baseline="0">
              <a:solidFill>
                <a:schemeClr val="accent1">
                  <a:lumMod val="50000"/>
                </a:schemeClr>
              </a:solidFill>
            </a:rPr>
            <a:t>Optimisation apports</a:t>
          </a:r>
          <a:endParaRPr lang="fr-FR" sz="1100" b="1">
            <a:solidFill>
              <a:schemeClr val="accent1">
                <a:lumMod val="50000"/>
              </a:schemeClr>
            </a:solidFill>
          </a:endParaRPr>
        </a:p>
      </xdr:txBody>
    </xdr:sp>
    <xdr:clientData/>
  </xdr:twoCellAnchor>
  <xdr:twoCellAnchor>
    <xdr:from>
      <xdr:col>6</xdr:col>
      <xdr:colOff>371</xdr:colOff>
      <xdr:row>2</xdr:row>
      <xdr:rowOff>142875</xdr:rowOff>
    </xdr:from>
    <xdr:to>
      <xdr:col>8</xdr:col>
      <xdr:colOff>590136</xdr:colOff>
      <xdr:row>4</xdr:row>
      <xdr:rowOff>10275</xdr:rowOff>
    </xdr:to>
    <xdr:sp macro="" textlink="">
      <xdr:nvSpPr>
        <xdr:cNvPr id="15" name="Parallelogram 14">
          <a:hlinkClick xmlns:r="http://schemas.openxmlformats.org/officeDocument/2006/relationships" r:id="rId6"/>
          <a:extLst>
            <a:ext uri="{FF2B5EF4-FFF2-40B4-BE49-F238E27FC236}">
              <a16:creationId xmlns:a16="http://schemas.microsoft.com/office/drawing/2014/main" id="{00000000-0008-0000-0800-00000F000000}"/>
            </a:ext>
          </a:extLst>
        </xdr:cNvPr>
        <xdr:cNvSpPr/>
      </xdr:nvSpPr>
      <xdr:spPr>
        <a:xfrm>
          <a:off x="3631077" y="523875"/>
          <a:ext cx="1800000"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baseline="0">
              <a:solidFill>
                <a:schemeClr val="accent1">
                  <a:lumMod val="50000"/>
                </a:schemeClr>
              </a:solidFill>
            </a:rPr>
            <a:t>Démarche collective</a:t>
          </a:r>
          <a:endParaRPr lang="fr-FR" sz="1100" b="1">
            <a:solidFill>
              <a:schemeClr val="accent1">
                <a:lumMod val="50000"/>
              </a:schemeClr>
            </a:solidFill>
          </a:endParaRPr>
        </a:p>
      </xdr:txBody>
    </xdr:sp>
    <xdr:clientData/>
  </xdr:twoCellAnchor>
  <xdr:twoCellAnchor>
    <xdr:from>
      <xdr:col>9</xdr:col>
      <xdr:colOff>24836</xdr:colOff>
      <xdr:row>0</xdr:row>
      <xdr:rowOff>133350</xdr:rowOff>
    </xdr:from>
    <xdr:to>
      <xdr:col>12</xdr:col>
      <xdr:colOff>225483</xdr:colOff>
      <xdr:row>2</xdr:row>
      <xdr:rowOff>750</xdr:rowOff>
    </xdr:to>
    <xdr:sp macro="" textlink="">
      <xdr:nvSpPr>
        <xdr:cNvPr id="16" name="Parallelogram 15">
          <a:hlinkClick xmlns:r="http://schemas.openxmlformats.org/officeDocument/2006/relationships" r:id="rId7"/>
          <a:extLst>
            <a:ext uri="{FF2B5EF4-FFF2-40B4-BE49-F238E27FC236}">
              <a16:creationId xmlns:a16="http://schemas.microsoft.com/office/drawing/2014/main" id="{00000000-0008-0000-0800-000010000000}"/>
            </a:ext>
          </a:extLst>
        </xdr:cNvPr>
        <xdr:cNvSpPr/>
      </xdr:nvSpPr>
      <xdr:spPr>
        <a:xfrm>
          <a:off x="5470895" y="133350"/>
          <a:ext cx="2016000"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baseline="0">
              <a:solidFill>
                <a:schemeClr val="accent1">
                  <a:lumMod val="50000"/>
                </a:schemeClr>
              </a:solidFill>
            </a:rPr>
            <a:t>Pratiques agronomiques</a:t>
          </a:r>
          <a:endParaRPr lang="fr-FR" sz="1100" b="1">
            <a:solidFill>
              <a:schemeClr val="accent1">
                <a:lumMod val="50000"/>
              </a:schemeClr>
            </a:solidFill>
          </a:endParaRPr>
        </a:p>
      </xdr:txBody>
    </xdr:sp>
    <xdr:clientData/>
  </xdr:twoCellAnchor>
  <xdr:twoCellAnchor>
    <xdr:from>
      <xdr:col>9</xdr:col>
      <xdr:colOff>24836</xdr:colOff>
      <xdr:row>2</xdr:row>
      <xdr:rowOff>142875</xdr:rowOff>
    </xdr:from>
    <xdr:to>
      <xdr:col>12</xdr:col>
      <xdr:colOff>225483</xdr:colOff>
      <xdr:row>4</xdr:row>
      <xdr:rowOff>10275</xdr:rowOff>
    </xdr:to>
    <xdr:sp macro="" textlink="">
      <xdr:nvSpPr>
        <xdr:cNvPr id="17" name="Parallelogram 16">
          <a:hlinkClick xmlns:r="http://schemas.openxmlformats.org/officeDocument/2006/relationships" r:id="rId8"/>
          <a:extLst>
            <a:ext uri="{FF2B5EF4-FFF2-40B4-BE49-F238E27FC236}">
              <a16:creationId xmlns:a16="http://schemas.microsoft.com/office/drawing/2014/main" id="{00000000-0008-0000-0800-000011000000}"/>
            </a:ext>
          </a:extLst>
        </xdr:cNvPr>
        <xdr:cNvSpPr/>
      </xdr:nvSpPr>
      <xdr:spPr>
        <a:xfrm>
          <a:off x="5470895" y="523875"/>
          <a:ext cx="2016000"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baseline="0">
              <a:solidFill>
                <a:schemeClr val="accent1">
                  <a:lumMod val="50000"/>
                </a:schemeClr>
              </a:solidFill>
            </a:rPr>
            <a:t>Prélèvements étiages</a:t>
          </a:r>
          <a:endParaRPr lang="fr-FR" sz="1100" b="1">
            <a:solidFill>
              <a:schemeClr val="accent1">
                <a:lumMod val="50000"/>
              </a:schemeClr>
            </a:solidFill>
          </a:endParaRPr>
        </a:p>
      </xdr:txBody>
    </xdr:sp>
    <xdr:clientData/>
  </xdr:twoCellAnchor>
  <xdr:twoCellAnchor>
    <xdr:from>
      <xdr:col>12</xdr:col>
      <xdr:colOff>251020</xdr:colOff>
      <xdr:row>0</xdr:row>
      <xdr:rowOff>133350</xdr:rowOff>
    </xdr:from>
    <xdr:to>
      <xdr:col>15</xdr:col>
      <xdr:colOff>235667</xdr:colOff>
      <xdr:row>2</xdr:row>
      <xdr:rowOff>750</xdr:rowOff>
    </xdr:to>
    <xdr:sp macro="" textlink="">
      <xdr:nvSpPr>
        <xdr:cNvPr id="18" name="Parallelogram 17">
          <a:hlinkClick xmlns:r="http://schemas.openxmlformats.org/officeDocument/2006/relationships" r:id="rId9"/>
          <a:extLst>
            <a:ext uri="{FF2B5EF4-FFF2-40B4-BE49-F238E27FC236}">
              <a16:creationId xmlns:a16="http://schemas.microsoft.com/office/drawing/2014/main" id="{00000000-0008-0000-0800-000012000000}"/>
            </a:ext>
          </a:extLst>
        </xdr:cNvPr>
        <xdr:cNvSpPr/>
      </xdr:nvSpPr>
      <xdr:spPr>
        <a:xfrm>
          <a:off x="7512432" y="133350"/>
          <a:ext cx="1800000"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baseline="0">
              <a:solidFill>
                <a:schemeClr val="accent1">
                  <a:lumMod val="50000"/>
                </a:schemeClr>
              </a:solidFill>
            </a:rPr>
            <a:t>Recyclage eaux</a:t>
          </a:r>
          <a:endParaRPr lang="fr-FR" sz="1100" b="1">
            <a:solidFill>
              <a:schemeClr val="accent1">
                <a:lumMod val="50000"/>
              </a:schemeClr>
            </a:solidFill>
          </a:endParaRPr>
        </a:p>
      </xdr:txBody>
    </xdr:sp>
    <xdr:clientData/>
  </xdr:twoCellAnchor>
  <xdr:twoCellAnchor>
    <xdr:from>
      <xdr:col>12</xdr:col>
      <xdr:colOff>251020</xdr:colOff>
      <xdr:row>2</xdr:row>
      <xdr:rowOff>142875</xdr:rowOff>
    </xdr:from>
    <xdr:to>
      <xdr:col>15</xdr:col>
      <xdr:colOff>235667</xdr:colOff>
      <xdr:row>4</xdr:row>
      <xdr:rowOff>10275</xdr:rowOff>
    </xdr:to>
    <xdr:sp macro="" textlink="">
      <xdr:nvSpPr>
        <xdr:cNvPr id="19" name="Parallelogram 18">
          <a:hlinkClick xmlns:r="http://schemas.openxmlformats.org/officeDocument/2006/relationships" r:id="rId10"/>
          <a:extLst>
            <a:ext uri="{FF2B5EF4-FFF2-40B4-BE49-F238E27FC236}">
              <a16:creationId xmlns:a16="http://schemas.microsoft.com/office/drawing/2014/main" id="{00000000-0008-0000-0800-000013000000}"/>
            </a:ext>
          </a:extLst>
        </xdr:cNvPr>
        <xdr:cNvSpPr/>
      </xdr:nvSpPr>
      <xdr:spPr>
        <a:xfrm>
          <a:off x="7512432" y="523875"/>
          <a:ext cx="1800000"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baseline="0">
              <a:solidFill>
                <a:schemeClr val="accent1">
                  <a:lumMod val="50000"/>
                </a:schemeClr>
              </a:solidFill>
            </a:rPr>
            <a:t>Récupération eaux</a:t>
          </a:r>
          <a:endParaRPr lang="fr-FR" sz="1100" b="1">
            <a:solidFill>
              <a:schemeClr val="accent1">
                <a:lumMod val="50000"/>
              </a:schemeClr>
            </a:solidFill>
          </a:endParaRPr>
        </a:p>
      </xdr:txBody>
    </xdr:sp>
    <xdr:clientData/>
  </xdr:twoCellAnchor>
  <xdr:twoCellAnchor>
    <xdr:from>
      <xdr:col>1</xdr:col>
      <xdr:colOff>359834</xdr:colOff>
      <xdr:row>254</xdr:row>
      <xdr:rowOff>8715</xdr:rowOff>
    </xdr:from>
    <xdr:to>
      <xdr:col>6</xdr:col>
      <xdr:colOff>354355</xdr:colOff>
      <xdr:row>256</xdr:row>
      <xdr:rowOff>21744</xdr:rowOff>
    </xdr:to>
    <xdr:sp macro="" textlink="">
      <xdr:nvSpPr>
        <xdr:cNvPr id="20" name="Parallelogram 19">
          <a:extLst>
            <a:ext uri="{FF2B5EF4-FFF2-40B4-BE49-F238E27FC236}">
              <a16:creationId xmlns:a16="http://schemas.microsoft.com/office/drawing/2014/main" id="{00000000-0008-0000-0800-000014000000}"/>
            </a:ext>
          </a:extLst>
        </xdr:cNvPr>
        <xdr:cNvSpPr/>
      </xdr:nvSpPr>
      <xdr:spPr>
        <a:xfrm>
          <a:off x="964952" y="47454421"/>
          <a:ext cx="3020109" cy="405235"/>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Récapitulatif de l'indicateur</a:t>
          </a:r>
        </a:p>
      </xdr:txBody>
    </xdr:sp>
    <xdr:clientData/>
  </xdr:twoCellAnchor>
  <xdr:twoCellAnchor>
    <xdr:from>
      <xdr:col>15</xdr:col>
      <xdr:colOff>246528</xdr:colOff>
      <xdr:row>0</xdr:row>
      <xdr:rowOff>134466</xdr:rowOff>
    </xdr:from>
    <xdr:to>
      <xdr:col>17</xdr:col>
      <xdr:colOff>476293</xdr:colOff>
      <xdr:row>2</xdr:row>
      <xdr:rowOff>1866</xdr:rowOff>
    </xdr:to>
    <xdr:sp macro="" textlink="">
      <xdr:nvSpPr>
        <xdr:cNvPr id="21" name="Parallelogram 20">
          <a:hlinkClick xmlns:r="http://schemas.openxmlformats.org/officeDocument/2006/relationships" r:id="rId11"/>
          <a:extLst>
            <a:ext uri="{FF2B5EF4-FFF2-40B4-BE49-F238E27FC236}">
              <a16:creationId xmlns:a16="http://schemas.microsoft.com/office/drawing/2014/main" id="{00000000-0008-0000-0800-000015000000}"/>
            </a:ext>
          </a:extLst>
        </xdr:cNvPr>
        <xdr:cNvSpPr/>
      </xdr:nvSpPr>
      <xdr:spPr>
        <a:xfrm>
          <a:off x="9323293" y="134466"/>
          <a:ext cx="1440000"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baseline="0">
              <a:solidFill>
                <a:schemeClr val="accent1">
                  <a:lumMod val="50000"/>
                </a:schemeClr>
              </a:solidFill>
            </a:rPr>
            <a:t>Récapitulatif</a:t>
          </a:r>
          <a:endParaRPr lang="fr-FR" sz="1100" b="1">
            <a:solidFill>
              <a:schemeClr val="accent1">
                <a:lumMod val="50000"/>
              </a:schemeClr>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252680</xdr:colOff>
      <xdr:row>0</xdr:row>
      <xdr:rowOff>57397</xdr:rowOff>
    </xdr:from>
    <xdr:to>
      <xdr:col>2</xdr:col>
      <xdr:colOff>142237</xdr:colOff>
      <xdr:row>4</xdr:row>
      <xdr:rowOff>133277</xdr:rowOff>
    </xdr:to>
    <xdr:pic>
      <xdr:nvPicPr>
        <xdr:cNvPr id="11" name="Image 10">
          <a:hlinkClick xmlns:r="http://schemas.openxmlformats.org/officeDocument/2006/relationships" r:id="rId1"/>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52680" y="57397"/>
          <a:ext cx="1144616" cy="7930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390525</xdr:colOff>
      <xdr:row>6</xdr:row>
      <xdr:rowOff>38100</xdr:rowOff>
    </xdr:from>
    <xdr:to>
      <xdr:col>6</xdr:col>
      <xdr:colOff>123825</xdr:colOff>
      <xdr:row>8</xdr:row>
      <xdr:rowOff>152400</xdr:rowOff>
    </xdr:to>
    <xdr:sp macro="" textlink="">
      <xdr:nvSpPr>
        <xdr:cNvPr id="13" name="Rectangle 12">
          <a:extLst>
            <a:ext uri="{FF2B5EF4-FFF2-40B4-BE49-F238E27FC236}">
              <a16:creationId xmlns:a16="http://schemas.microsoft.com/office/drawing/2014/main" id="{00000000-0008-0000-0900-00000D000000}"/>
            </a:ext>
          </a:extLst>
        </xdr:cNvPr>
        <xdr:cNvSpPr/>
      </xdr:nvSpPr>
      <xdr:spPr>
        <a:xfrm>
          <a:off x="390525" y="1181100"/>
          <a:ext cx="3390900" cy="504825"/>
        </a:xfrm>
        <a:prstGeom prst="rect">
          <a:avLst/>
        </a:prstGeom>
        <a:solidFill>
          <a:schemeClr val="bg2">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t>Tableau récapitulatif des items Biodiversité</a:t>
          </a:r>
        </a:p>
      </xdr:txBody>
    </xdr:sp>
    <xdr:clientData/>
  </xdr:twoCellAnchor>
  <xdr:twoCellAnchor>
    <xdr:from>
      <xdr:col>14</xdr:col>
      <xdr:colOff>381000</xdr:colOff>
      <xdr:row>6</xdr:row>
      <xdr:rowOff>38100</xdr:rowOff>
    </xdr:from>
    <xdr:to>
      <xdr:col>20</xdr:col>
      <xdr:colOff>114300</xdr:colOff>
      <xdr:row>8</xdr:row>
      <xdr:rowOff>152400</xdr:rowOff>
    </xdr:to>
    <xdr:sp macro="" textlink="">
      <xdr:nvSpPr>
        <xdr:cNvPr id="14" name="Rectangle 13">
          <a:extLst>
            <a:ext uri="{FF2B5EF4-FFF2-40B4-BE49-F238E27FC236}">
              <a16:creationId xmlns:a16="http://schemas.microsoft.com/office/drawing/2014/main" id="{00000000-0008-0000-0900-00000E000000}"/>
            </a:ext>
          </a:extLst>
        </xdr:cNvPr>
        <xdr:cNvSpPr/>
      </xdr:nvSpPr>
      <xdr:spPr>
        <a:xfrm>
          <a:off x="7696200" y="1181100"/>
          <a:ext cx="3390900" cy="504825"/>
        </a:xfrm>
        <a:prstGeom prst="rect">
          <a:avLst/>
        </a:prstGeom>
        <a:solidFill>
          <a:schemeClr val="bg2">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t>Tableau récapitulatif des items Phytosanitaire</a:t>
          </a:r>
        </a:p>
      </xdr:txBody>
    </xdr:sp>
    <xdr:clientData/>
  </xdr:twoCellAnchor>
  <xdr:twoCellAnchor>
    <xdr:from>
      <xdr:col>0</xdr:col>
      <xdr:colOff>381000</xdr:colOff>
      <xdr:row>23</xdr:row>
      <xdr:rowOff>38100</xdr:rowOff>
    </xdr:from>
    <xdr:to>
      <xdr:col>6</xdr:col>
      <xdr:colOff>114300</xdr:colOff>
      <xdr:row>25</xdr:row>
      <xdr:rowOff>152400</xdr:rowOff>
    </xdr:to>
    <xdr:sp macro="" textlink="">
      <xdr:nvSpPr>
        <xdr:cNvPr id="16" name="Rectangle 15">
          <a:extLst>
            <a:ext uri="{FF2B5EF4-FFF2-40B4-BE49-F238E27FC236}">
              <a16:creationId xmlns:a16="http://schemas.microsoft.com/office/drawing/2014/main" id="{00000000-0008-0000-0900-000010000000}"/>
            </a:ext>
          </a:extLst>
        </xdr:cNvPr>
        <xdr:cNvSpPr/>
      </xdr:nvSpPr>
      <xdr:spPr>
        <a:xfrm>
          <a:off x="7696200" y="1181100"/>
          <a:ext cx="3390900" cy="504825"/>
        </a:xfrm>
        <a:prstGeom prst="rect">
          <a:avLst/>
        </a:prstGeom>
        <a:solidFill>
          <a:schemeClr val="bg2">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t>Tableau récapitulatif des items Fertilisation</a:t>
          </a:r>
        </a:p>
      </xdr:txBody>
    </xdr:sp>
    <xdr:clientData/>
  </xdr:twoCellAnchor>
  <xdr:twoCellAnchor>
    <xdr:from>
      <xdr:col>14</xdr:col>
      <xdr:colOff>409575</xdr:colOff>
      <xdr:row>23</xdr:row>
      <xdr:rowOff>38100</xdr:rowOff>
    </xdr:from>
    <xdr:to>
      <xdr:col>20</xdr:col>
      <xdr:colOff>142875</xdr:colOff>
      <xdr:row>25</xdr:row>
      <xdr:rowOff>152400</xdr:rowOff>
    </xdr:to>
    <xdr:sp macro="" textlink="">
      <xdr:nvSpPr>
        <xdr:cNvPr id="25" name="Rectangle 24">
          <a:extLst>
            <a:ext uri="{FF2B5EF4-FFF2-40B4-BE49-F238E27FC236}">
              <a16:creationId xmlns:a16="http://schemas.microsoft.com/office/drawing/2014/main" id="{00000000-0008-0000-0900-000019000000}"/>
            </a:ext>
          </a:extLst>
        </xdr:cNvPr>
        <xdr:cNvSpPr/>
      </xdr:nvSpPr>
      <xdr:spPr>
        <a:xfrm>
          <a:off x="7724775" y="4438650"/>
          <a:ext cx="3390900" cy="504825"/>
        </a:xfrm>
        <a:prstGeom prst="rect">
          <a:avLst/>
        </a:prstGeom>
        <a:solidFill>
          <a:schemeClr val="bg2">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t>Tableau récapitulatif des items Irrigation</a:t>
          </a:r>
        </a:p>
      </xdr:txBody>
    </xdr:sp>
    <xdr:clientData/>
  </xdr:twoCellAnchor>
  <xdr:twoCellAnchor>
    <xdr:from>
      <xdr:col>0</xdr:col>
      <xdr:colOff>228600</xdr:colOff>
      <xdr:row>39</xdr:row>
      <xdr:rowOff>152400</xdr:rowOff>
    </xdr:from>
    <xdr:to>
      <xdr:col>3</xdr:col>
      <xdr:colOff>152400</xdr:colOff>
      <xdr:row>42</xdr:row>
      <xdr:rowOff>85725</xdr:rowOff>
    </xdr:to>
    <xdr:sp macro="" textlink="">
      <xdr:nvSpPr>
        <xdr:cNvPr id="26" name="Rectangle 25">
          <a:extLst>
            <a:ext uri="{FF2B5EF4-FFF2-40B4-BE49-F238E27FC236}">
              <a16:creationId xmlns:a16="http://schemas.microsoft.com/office/drawing/2014/main" id="{00000000-0008-0000-0900-00001A000000}"/>
            </a:ext>
          </a:extLst>
        </xdr:cNvPr>
        <xdr:cNvSpPr/>
      </xdr:nvSpPr>
      <xdr:spPr>
        <a:xfrm>
          <a:off x="228600" y="7620000"/>
          <a:ext cx="1752600" cy="514350"/>
        </a:xfrm>
        <a:prstGeom prst="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t>Notes par indicateur</a:t>
          </a:r>
        </a:p>
      </xdr:txBody>
    </xdr:sp>
    <xdr:clientData/>
  </xdr:twoCellAnchor>
  <xdr:twoCellAnchor>
    <xdr:from>
      <xdr:col>14</xdr:col>
      <xdr:colOff>361950</xdr:colOff>
      <xdr:row>39</xdr:row>
      <xdr:rowOff>171450</xdr:rowOff>
    </xdr:from>
    <xdr:to>
      <xdr:col>17</xdr:col>
      <xdr:colOff>285750</xdr:colOff>
      <xdr:row>42</xdr:row>
      <xdr:rowOff>104775</xdr:rowOff>
    </xdr:to>
    <xdr:sp macro="" textlink="">
      <xdr:nvSpPr>
        <xdr:cNvPr id="27" name="Rectangle 26">
          <a:extLst>
            <a:ext uri="{FF2B5EF4-FFF2-40B4-BE49-F238E27FC236}">
              <a16:creationId xmlns:a16="http://schemas.microsoft.com/office/drawing/2014/main" id="{00000000-0008-0000-0900-00001B000000}"/>
            </a:ext>
          </a:extLst>
        </xdr:cNvPr>
        <xdr:cNvSpPr/>
      </xdr:nvSpPr>
      <xdr:spPr>
        <a:xfrm>
          <a:off x="7677150" y="7639050"/>
          <a:ext cx="1752600" cy="514350"/>
        </a:xfrm>
        <a:prstGeom prst="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t>Résultat Audit</a:t>
          </a:r>
        </a:p>
      </xdr:txBody>
    </xdr:sp>
    <xdr:clientData/>
  </xdr:twoCellAnchor>
  <xdr:twoCellAnchor>
    <xdr:from>
      <xdr:col>0</xdr:col>
      <xdr:colOff>228600</xdr:colOff>
      <xdr:row>49</xdr:row>
      <xdr:rowOff>114300</xdr:rowOff>
    </xdr:from>
    <xdr:to>
      <xdr:col>3</xdr:col>
      <xdr:colOff>152400</xdr:colOff>
      <xdr:row>52</xdr:row>
      <xdr:rowOff>47625</xdr:rowOff>
    </xdr:to>
    <xdr:sp macro="" textlink="">
      <xdr:nvSpPr>
        <xdr:cNvPr id="3" name="Rectangle 2">
          <a:extLst>
            <a:ext uri="{FF2B5EF4-FFF2-40B4-BE49-F238E27FC236}">
              <a16:creationId xmlns:a16="http://schemas.microsoft.com/office/drawing/2014/main" id="{00000000-0008-0000-0900-000003000000}"/>
            </a:ext>
          </a:extLst>
        </xdr:cNvPr>
        <xdr:cNvSpPr/>
      </xdr:nvSpPr>
      <xdr:spPr>
        <a:xfrm>
          <a:off x="228600" y="9505950"/>
          <a:ext cx="1752600" cy="514350"/>
        </a:xfrm>
        <a:prstGeom prst="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t>Bilan</a:t>
          </a:r>
        </a:p>
      </xdr:txBody>
    </xdr:sp>
    <xdr:clientData/>
  </xdr:twoCellAnchor>
  <xdr:twoCellAnchor>
    <xdr:from>
      <xdr:col>0</xdr:col>
      <xdr:colOff>228600</xdr:colOff>
      <xdr:row>78</xdr:row>
      <xdr:rowOff>84613</xdr:rowOff>
    </xdr:from>
    <xdr:to>
      <xdr:col>3</xdr:col>
      <xdr:colOff>152400</xdr:colOff>
      <xdr:row>80</xdr:row>
      <xdr:rowOff>122937</xdr:rowOff>
    </xdr:to>
    <xdr:sp macro="" textlink="">
      <xdr:nvSpPr>
        <xdr:cNvPr id="5" name="Rectangle 4">
          <a:extLst>
            <a:ext uri="{FF2B5EF4-FFF2-40B4-BE49-F238E27FC236}">
              <a16:creationId xmlns:a16="http://schemas.microsoft.com/office/drawing/2014/main" id="{74FB7D3C-16C4-496A-887B-D6B77EBF4005}"/>
            </a:ext>
          </a:extLst>
        </xdr:cNvPr>
        <xdr:cNvSpPr/>
      </xdr:nvSpPr>
      <xdr:spPr>
        <a:xfrm>
          <a:off x="228600" y="14181613"/>
          <a:ext cx="1806388" cy="408118"/>
        </a:xfrm>
        <a:prstGeom prst="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t>Décision (réservé OC)</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mailto:adressemail@detest.fr"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agreste.agriculture.gouv.fr/agreste-web/methodon/N.1/!searchurl/listeTypeMethodon/" TargetMode="Ex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K68"/>
  <sheetViews>
    <sheetView tabSelected="1" zoomScaleNormal="100" workbookViewId="0">
      <pane xSplit="3" ySplit="6" topLeftCell="D63" activePane="bottomRight" state="frozen"/>
      <selection pane="topRight" activeCell="D1" sqref="D1"/>
      <selection pane="bottomLeft" activeCell="A7" sqref="A7"/>
      <selection pane="bottomRight" activeCell="C79" sqref="C79"/>
    </sheetView>
  </sheetViews>
  <sheetFormatPr baseColWidth="10" defaultColWidth="11.44140625" defaultRowHeight="14.4" x14ac:dyDescent="0.3"/>
  <cols>
    <col min="1" max="1" width="10.5546875" style="404" customWidth="1"/>
    <col min="2" max="2" width="12.5546875" style="404" customWidth="1"/>
    <col min="3" max="3" width="25.5546875" style="404" customWidth="1"/>
    <col min="4" max="4" width="122.5546875" style="404" customWidth="1"/>
    <col min="5" max="16384" width="11.44140625" style="404"/>
  </cols>
  <sheetData>
    <row r="1" spans="1:4" s="406" customFormat="1" ht="18" x14ac:dyDescent="0.35">
      <c r="A1" s="405" t="s">
        <v>2575</v>
      </c>
    </row>
    <row r="3" spans="1:4" x14ac:dyDescent="0.3">
      <c r="A3" s="454" t="s">
        <v>2812</v>
      </c>
      <c r="B3" s="404" t="s">
        <v>2813</v>
      </c>
    </row>
    <row r="4" spans="1:4" x14ac:dyDescent="0.3">
      <c r="A4" s="455" t="s">
        <v>2815</v>
      </c>
      <c r="B4" s="456" t="s">
        <v>2814</v>
      </c>
    </row>
    <row r="5" spans="1:4" x14ac:dyDescent="0.3">
      <c r="A5" s="404" t="s">
        <v>2829</v>
      </c>
      <c r="B5" s="404" t="s">
        <v>3356</v>
      </c>
    </row>
    <row r="6" spans="1:4" x14ac:dyDescent="0.3">
      <c r="A6" s="428" t="s">
        <v>2576</v>
      </c>
      <c r="B6" s="428" t="s">
        <v>2486</v>
      </c>
      <c r="C6" s="428" t="s">
        <v>2766</v>
      </c>
      <c r="D6" s="428" t="s">
        <v>2577</v>
      </c>
    </row>
    <row r="7" spans="1:4" x14ac:dyDescent="0.3">
      <c r="A7" s="408" t="s">
        <v>2578</v>
      </c>
      <c r="B7" s="409">
        <v>44886</v>
      </c>
      <c r="C7" s="409"/>
      <c r="D7" s="407"/>
    </row>
    <row r="8" spans="1:4" x14ac:dyDescent="0.3">
      <c r="A8" s="408" t="s">
        <v>2579</v>
      </c>
      <c r="B8" s="409">
        <v>44888</v>
      </c>
      <c r="C8" s="410" t="s">
        <v>303</v>
      </c>
      <c r="D8" s="457" t="s">
        <v>2581</v>
      </c>
    </row>
    <row r="9" spans="1:4" ht="43.2" x14ac:dyDescent="0.3">
      <c r="A9" s="408" t="s">
        <v>2580</v>
      </c>
      <c r="B9" s="409">
        <v>44895</v>
      </c>
      <c r="C9" s="410" t="s">
        <v>343</v>
      </c>
      <c r="D9" s="457" t="s">
        <v>2582</v>
      </c>
    </row>
    <row r="10" spans="1:4" ht="28.8" x14ac:dyDescent="0.3">
      <c r="A10" s="408" t="s">
        <v>2584</v>
      </c>
      <c r="B10" s="409">
        <v>44897</v>
      </c>
      <c r="C10" s="410" t="s">
        <v>343</v>
      </c>
      <c r="D10" s="457" t="s">
        <v>2585</v>
      </c>
    </row>
    <row r="11" spans="1:4" x14ac:dyDescent="0.3">
      <c r="A11" s="576" t="s">
        <v>2713</v>
      </c>
      <c r="B11" s="579">
        <v>44938</v>
      </c>
      <c r="C11" s="410" t="s">
        <v>730</v>
      </c>
      <c r="D11" s="411" t="s">
        <v>2744</v>
      </c>
    </row>
    <row r="12" spans="1:4" ht="28.8" x14ac:dyDescent="0.3">
      <c r="A12" s="578"/>
      <c r="B12" s="581"/>
      <c r="C12" s="410" t="s">
        <v>2745</v>
      </c>
      <c r="D12" s="411" t="s">
        <v>2759</v>
      </c>
    </row>
    <row r="13" spans="1:4" ht="28.8" x14ac:dyDescent="0.3">
      <c r="A13" s="582" t="s">
        <v>2760</v>
      </c>
      <c r="B13" s="583">
        <v>44963</v>
      </c>
      <c r="C13" s="410" t="s">
        <v>2761</v>
      </c>
      <c r="D13" s="411" t="s">
        <v>2763</v>
      </c>
    </row>
    <row r="14" spans="1:4" ht="100.8" x14ac:dyDescent="0.3">
      <c r="A14" s="582"/>
      <c r="B14" s="583"/>
      <c r="C14" s="410" t="s">
        <v>303</v>
      </c>
      <c r="D14" s="411" t="s">
        <v>2817</v>
      </c>
    </row>
    <row r="15" spans="1:4" ht="28.8" x14ac:dyDescent="0.3">
      <c r="A15" s="582"/>
      <c r="B15" s="583"/>
      <c r="C15" s="410" t="s">
        <v>2762</v>
      </c>
      <c r="D15" s="411" t="s">
        <v>2769</v>
      </c>
    </row>
    <row r="16" spans="1:4" ht="72" x14ac:dyDescent="0.3">
      <c r="A16" s="576" t="s">
        <v>2780</v>
      </c>
      <c r="B16" s="579">
        <v>44993</v>
      </c>
      <c r="C16" s="410" t="s">
        <v>2761</v>
      </c>
      <c r="D16" s="411" t="s">
        <v>2816</v>
      </c>
    </row>
    <row r="17" spans="1:11" ht="28.8" x14ac:dyDescent="0.3">
      <c r="A17" s="577"/>
      <c r="B17" s="580"/>
      <c r="C17" s="458" t="s">
        <v>2786</v>
      </c>
      <c r="D17" s="457" t="s">
        <v>2801</v>
      </c>
    </row>
    <row r="18" spans="1:11" ht="28.8" x14ac:dyDescent="0.3">
      <c r="A18" s="578"/>
      <c r="B18" s="581"/>
      <c r="C18" s="459" t="s">
        <v>322</v>
      </c>
      <c r="D18" s="457" t="s">
        <v>2804</v>
      </c>
    </row>
    <row r="19" spans="1:11" x14ac:dyDescent="0.3">
      <c r="A19" s="576" t="s">
        <v>2806</v>
      </c>
      <c r="B19" s="579">
        <v>45048</v>
      </c>
      <c r="C19" s="410" t="s">
        <v>343</v>
      </c>
      <c r="D19" s="411" t="s">
        <v>2807</v>
      </c>
    </row>
    <row r="20" spans="1:11" x14ac:dyDescent="0.3">
      <c r="A20" s="577"/>
      <c r="B20" s="580"/>
      <c r="C20" s="410" t="s">
        <v>2808</v>
      </c>
      <c r="D20" s="411" t="s">
        <v>2811</v>
      </c>
    </row>
    <row r="21" spans="1:11" x14ac:dyDescent="0.3">
      <c r="A21" s="578"/>
      <c r="B21" s="581"/>
      <c r="C21" s="461" t="s">
        <v>2809</v>
      </c>
      <c r="D21" s="407" t="s">
        <v>2810</v>
      </c>
    </row>
    <row r="22" spans="1:11" ht="60" customHeight="1" x14ac:dyDescent="0.3">
      <c r="A22" s="576" t="s">
        <v>2820</v>
      </c>
      <c r="B22" s="585">
        <v>45159</v>
      </c>
      <c r="C22" s="460" t="s">
        <v>2819</v>
      </c>
      <c r="D22" s="411" t="s">
        <v>2821</v>
      </c>
      <c r="E22" s="588" t="s">
        <v>2825</v>
      </c>
      <c r="F22" s="588"/>
      <c r="G22" s="588"/>
      <c r="H22" s="588"/>
      <c r="I22" s="588"/>
      <c r="J22" s="588"/>
      <c r="K22" s="588"/>
    </row>
    <row r="23" spans="1:11" ht="28.8" x14ac:dyDescent="0.3">
      <c r="A23" s="577"/>
      <c r="B23" s="586"/>
      <c r="C23" s="460" t="s">
        <v>730</v>
      </c>
      <c r="D23" s="457" t="s">
        <v>2824</v>
      </c>
      <c r="E23" s="584" t="s">
        <v>2825</v>
      </c>
      <c r="F23" s="584"/>
      <c r="G23" s="584"/>
      <c r="H23" s="584"/>
      <c r="I23" s="584"/>
      <c r="J23" s="584"/>
      <c r="K23" s="584"/>
    </row>
    <row r="24" spans="1:11" ht="28.8" x14ac:dyDescent="0.3">
      <c r="A24" s="578"/>
      <c r="B24" s="587"/>
      <c r="C24" s="461" t="s">
        <v>2823</v>
      </c>
      <c r="D24" s="457" t="s">
        <v>2822</v>
      </c>
      <c r="E24" s="584" t="s">
        <v>2826</v>
      </c>
      <c r="F24" s="584"/>
      <c r="G24" s="584"/>
      <c r="H24" s="584"/>
      <c r="I24" s="584"/>
      <c r="J24" s="584"/>
      <c r="K24" s="584"/>
    </row>
    <row r="25" spans="1:11" x14ac:dyDescent="0.3">
      <c r="A25" s="576" t="s">
        <v>2951</v>
      </c>
      <c r="B25" s="579">
        <v>45435</v>
      </c>
      <c r="C25" s="461" t="s">
        <v>2952</v>
      </c>
      <c r="D25" s="460" t="s">
        <v>2953</v>
      </c>
    </row>
    <row r="26" spans="1:11" ht="28.8" x14ac:dyDescent="0.3">
      <c r="A26" s="577"/>
      <c r="B26" s="580"/>
      <c r="C26" s="461" t="s">
        <v>2830</v>
      </c>
      <c r="D26" s="460" t="s">
        <v>2832</v>
      </c>
    </row>
    <row r="27" spans="1:11" ht="316.8" x14ac:dyDescent="0.3">
      <c r="A27" s="577"/>
      <c r="B27" s="580"/>
      <c r="C27" s="461" t="s">
        <v>2831</v>
      </c>
      <c r="D27" s="460" t="s">
        <v>3098</v>
      </c>
    </row>
    <row r="28" spans="1:11" ht="72" x14ac:dyDescent="0.3">
      <c r="A28" s="577"/>
      <c r="B28" s="580"/>
      <c r="C28" s="461" t="s">
        <v>2761</v>
      </c>
      <c r="D28" s="460" t="s">
        <v>3110</v>
      </c>
    </row>
    <row r="29" spans="1:11" x14ac:dyDescent="0.3">
      <c r="A29" s="577"/>
      <c r="B29" s="580"/>
      <c r="C29" s="461" t="s">
        <v>2786</v>
      </c>
      <c r="D29" s="461" t="s">
        <v>2833</v>
      </c>
    </row>
    <row r="30" spans="1:11" x14ac:dyDescent="0.3">
      <c r="A30" s="577"/>
      <c r="B30" s="580"/>
      <c r="C30" s="461" t="s">
        <v>2834</v>
      </c>
      <c r="D30" s="461" t="s">
        <v>2833</v>
      </c>
    </row>
    <row r="31" spans="1:11" ht="139.5" customHeight="1" x14ac:dyDescent="0.3">
      <c r="A31" s="577"/>
      <c r="B31" s="580"/>
      <c r="C31" s="461" t="s">
        <v>2823</v>
      </c>
      <c r="D31" s="460" t="s">
        <v>3108</v>
      </c>
    </row>
    <row r="32" spans="1:11" ht="180.75" customHeight="1" x14ac:dyDescent="0.3">
      <c r="A32" s="577"/>
      <c r="B32" s="580"/>
      <c r="C32" s="461" t="s">
        <v>2835</v>
      </c>
      <c r="D32" s="460" t="s">
        <v>3114</v>
      </c>
    </row>
    <row r="33" spans="1:4" ht="86.4" x14ac:dyDescent="0.3">
      <c r="A33" s="577"/>
      <c r="B33" s="580"/>
      <c r="C33" s="461" t="s">
        <v>2836</v>
      </c>
      <c r="D33" s="460" t="s">
        <v>3115</v>
      </c>
    </row>
    <row r="34" spans="1:4" ht="129.6" x14ac:dyDescent="0.3">
      <c r="A34" s="577"/>
      <c r="B34" s="580"/>
      <c r="C34" s="461" t="s">
        <v>2838</v>
      </c>
      <c r="D34" s="460" t="s">
        <v>3232</v>
      </c>
    </row>
    <row r="35" spans="1:4" ht="158.4" x14ac:dyDescent="0.3">
      <c r="A35" s="577"/>
      <c r="B35" s="580"/>
      <c r="C35" s="461" t="s">
        <v>2808</v>
      </c>
      <c r="D35" s="460" t="s">
        <v>2908</v>
      </c>
    </row>
    <row r="36" spans="1:4" ht="28.8" x14ac:dyDescent="0.3">
      <c r="A36" s="577"/>
      <c r="B36" s="580"/>
      <c r="C36" s="461" t="s">
        <v>2900</v>
      </c>
      <c r="D36" s="411" t="s">
        <v>2901</v>
      </c>
    </row>
    <row r="37" spans="1:4" x14ac:dyDescent="0.3">
      <c r="A37" s="576" t="s">
        <v>3116</v>
      </c>
      <c r="B37" s="579">
        <v>45442</v>
      </c>
      <c r="C37" s="410" t="s">
        <v>2838</v>
      </c>
      <c r="D37" s="411" t="s">
        <v>3117</v>
      </c>
    </row>
    <row r="38" spans="1:4" x14ac:dyDescent="0.3">
      <c r="A38" s="577"/>
      <c r="B38" s="580"/>
      <c r="C38" s="410" t="s">
        <v>2835</v>
      </c>
      <c r="D38" s="457" t="s">
        <v>3119</v>
      </c>
    </row>
    <row r="39" spans="1:4" ht="43.2" x14ac:dyDescent="0.3">
      <c r="A39" s="589"/>
      <c r="B39" s="589"/>
      <c r="C39" s="410" t="s">
        <v>2823</v>
      </c>
      <c r="D39" s="457" t="s">
        <v>3118</v>
      </c>
    </row>
    <row r="40" spans="1:4" ht="72" x14ac:dyDescent="0.3">
      <c r="A40" s="582" t="s">
        <v>3120</v>
      </c>
      <c r="B40" s="583">
        <v>45485</v>
      </c>
      <c r="C40" s="461" t="s">
        <v>2823</v>
      </c>
      <c r="D40" s="457" t="s">
        <v>3150</v>
      </c>
    </row>
    <row r="41" spans="1:4" ht="43.2" x14ac:dyDescent="0.3">
      <c r="A41" s="582"/>
      <c r="B41" s="583"/>
      <c r="C41" s="461" t="s">
        <v>2835</v>
      </c>
      <c r="D41" s="457" t="s">
        <v>3199</v>
      </c>
    </row>
    <row r="42" spans="1:4" x14ac:dyDescent="0.3">
      <c r="A42" s="582"/>
      <c r="B42" s="583"/>
      <c r="C42" s="461" t="s">
        <v>2836</v>
      </c>
      <c r="D42" s="504" t="s">
        <v>3124</v>
      </c>
    </row>
    <row r="43" spans="1:4" ht="28.8" x14ac:dyDescent="0.3">
      <c r="A43" s="582"/>
      <c r="B43" s="583"/>
      <c r="C43" s="461" t="s">
        <v>3123</v>
      </c>
      <c r="D43" s="411" t="s">
        <v>3164</v>
      </c>
    </row>
    <row r="44" spans="1:4" ht="28.8" x14ac:dyDescent="0.3">
      <c r="A44" s="582"/>
      <c r="B44" s="583"/>
      <c r="C44" s="461" t="s">
        <v>3143</v>
      </c>
      <c r="D44" s="457" t="s">
        <v>3148</v>
      </c>
    </row>
    <row r="45" spans="1:4" ht="28.8" x14ac:dyDescent="0.3">
      <c r="A45" s="582"/>
      <c r="B45" s="583"/>
      <c r="C45" s="461" t="s">
        <v>2838</v>
      </c>
      <c r="D45" s="411" t="s">
        <v>3160</v>
      </c>
    </row>
    <row r="46" spans="1:4" x14ac:dyDescent="0.3">
      <c r="A46" s="582"/>
      <c r="B46" s="583"/>
      <c r="C46" s="461" t="s">
        <v>3159</v>
      </c>
      <c r="D46" s="411" t="s">
        <v>3158</v>
      </c>
    </row>
    <row r="47" spans="1:4" ht="43.2" x14ac:dyDescent="0.3">
      <c r="A47" s="577" t="s">
        <v>3193</v>
      </c>
      <c r="B47" s="580">
        <v>45658</v>
      </c>
      <c r="C47" s="461" t="s">
        <v>2831</v>
      </c>
      <c r="D47" s="411" t="s">
        <v>3220</v>
      </c>
    </row>
    <row r="48" spans="1:4" ht="72" x14ac:dyDescent="0.3">
      <c r="A48" s="577"/>
      <c r="B48" s="580"/>
      <c r="C48" s="461" t="s">
        <v>2761</v>
      </c>
      <c r="D48" s="411" t="s">
        <v>3221</v>
      </c>
    </row>
    <row r="49" spans="1:4" x14ac:dyDescent="0.3">
      <c r="A49" s="577"/>
      <c r="B49" s="580"/>
      <c r="C49" s="461" t="s">
        <v>2786</v>
      </c>
      <c r="D49" s="411" t="s">
        <v>3219</v>
      </c>
    </row>
    <row r="50" spans="1:4" x14ac:dyDescent="0.3">
      <c r="A50" s="577"/>
      <c r="B50" s="580"/>
      <c r="C50" s="461" t="s">
        <v>2834</v>
      </c>
      <c r="D50" s="411" t="s">
        <v>3219</v>
      </c>
    </row>
    <row r="51" spans="1:4" ht="172.8" x14ac:dyDescent="0.3">
      <c r="A51" s="577"/>
      <c r="B51" s="580"/>
      <c r="C51" s="461" t="s">
        <v>2823</v>
      </c>
      <c r="D51" s="411" t="s">
        <v>3218</v>
      </c>
    </row>
    <row r="52" spans="1:4" ht="72" x14ac:dyDescent="0.3">
      <c r="A52" s="577"/>
      <c r="B52" s="580"/>
      <c r="C52" s="461" t="s">
        <v>2835</v>
      </c>
      <c r="D52" s="411" t="s">
        <v>3222</v>
      </c>
    </row>
    <row r="53" spans="1:4" x14ac:dyDescent="0.3">
      <c r="A53" s="577"/>
      <c r="B53" s="580"/>
      <c r="C53" s="461" t="s">
        <v>2836</v>
      </c>
      <c r="D53" s="411" t="s">
        <v>3219</v>
      </c>
    </row>
    <row r="54" spans="1:4" x14ac:dyDescent="0.3">
      <c r="A54" s="577"/>
      <c r="B54" s="580"/>
      <c r="C54" s="461" t="s">
        <v>2838</v>
      </c>
      <c r="D54" s="411" t="s">
        <v>3223</v>
      </c>
    </row>
    <row r="55" spans="1:4" x14ac:dyDescent="0.3">
      <c r="A55" s="578"/>
      <c r="B55" s="581"/>
      <c r="C55" s="407" t="s">
        <v>3201</v>
      </c>
      <c r="D55" s="407" t="s">
        <v>3202</v>
      </c>
    </row>
    <row r="56" spans="1:4" x14ac:dyDescent="0.3">
      <c r="A56" s="582" t="s">
        <v>3226</v>
      </c>
      <c r="B56" s="583">
        <v>45771</v>
      </c>
      <c r="C56" s="407" t="s">
        <v>2734</v>
      </c>
      <c r="D56" s="407" t="s">
        <v>3227</v>
      </c>
    </row>
    <row r="57" spans="1:4" x14ac:dyDescent="0.3">
      <c r="A57" s="582"/>
      <c r="B57" s="583"/>
      <c r="C57" s="407" t="s">
        <v>3123</v>
      </c>
      <c r="D57" s="411" t="s">
        <v>3228</v>
      </c>
    </row>
    <row r="58" spans="1:4" x14ac:dyDescent="0.3">
      <c r="A58" s="591" t="s">
        <v>3229</v>
      </c>
      <c r="B58" s="593">
        <v>46104</v>
      </c>
      <c r="C58" s="590" t="s">
        <v>3123</v>
      </c>
      <c r="D58" s="411" t="s">
        <v>3228</v>
      </c>
    </row>
    <row r="59" spans="1:4" x14ac:dyDescent="0.3">
      <c r="A59" s="592"/>
      <c r="B59" s="594"/>
      <c r="C59" s="590"/>
      <c r="D59" s="411" t="s">
        <v>3231</v>
      </c>
    </row>
    <row r="60" spans="1:4" x14ac:dyDescent="0.3">
      <c r="A60" s="592"/>
      <c r="B60" s="594"/>
      <c r="C60" s="570" t="s">
        <v>2838</v>
      </c>
      <c r="D60" s="411" t="s">
        <v>3233</v>
      </c>
    </row>
    <row r="61" spans="1:4" x14ac:dyDescent="0.3">
      <c r="A61" s="592"/>
      <c r="B61" s="594"/>
      <c r="C61" s="570" t="s">
        <v>2761</v>
      </c>
      <c r="D61" s="552" t="s">
        <v>3234</v>
      </c>
    </row>
    <row r="62" spans="1:4" x14ac:dyDescent="0.3">
      <c r="A62" s="592"/>
      <c r="B62" s="594"/>
      <c r="C62" s="590" t="s">
        <v>2823</v>
      </c>
      <c r="D62" s="411" t="s">
        <v>3238</v>
      </c>
    </row>
    <row r="63" spans="1:4" x14ac:dyDescent="0.3">
      <c r="A63" s="592"/>
      <c r="B63" s="594"/>
      <c r="C63" s="590"/>
      <c r="D63" s="457" t="s">
        <v>3241</v>
      </c>
    </row>
    <row r="64" spans="1:4" x14ac:dyDescent="0.3">
      <c r="A64" s="592"/>
      <c r="B64" s="594"/>
      <c r="C64" s="590"/>
      <c r="D64" s="552" t="s">
        <v>3344</v>
      </c>
    </row>
    <row r="65" spans="1:4" x14ac:dyDescent="0.3">
      <c r="A65" s="592"/>
      <c r="B65" s="594"/>
      <c r="C65" s="570" t="s">
        <v>2761</v>
      </c>
      <c r="D65" s="407" t="s">
        <v>3239</v>
      </c>
    </row>
    <row r="66" spans="1:4" x14ac:dyDescent="0.3">
      <c r="A66" s="592"/>
      <c r="B66" s="594"/>
      <c r="C66" s="570" t="s">
        <v>3143</v>
      </c>
      <c r="D66" s="407" t="s">
        <v>3240</v>
      </c>
    </row>
    <row r="67" spans="1:4" ht="72" x14ac:dyDescent="0.3">
      <c r="A67" s="592"/>
      <c r="B67" s="594"/>
      <c r="C67" s="571" t="s">
        <v>2831</v>
      </c>
      <c r="D67" s="572" t="s">
        <v>3345</v>
      </c>
    </row>
    <row r="68" spans="1:4" x14ac:dyDescent="0.3">
      <c r="A68" s="573" t="s">
        <v>3356</v>
      </c>
      <c r="B68" s="574">
        <v>46161</v>
      </c>
      <c r="C68" s="407" t="s">
        <v>3348</v>
      </c>
      <c r="D68" s="407" t="s">
        <v>3355</v>
      </c>
    </row>
  </sheetData>
  <sheetProtection algorithmName="SHA-512" hashValue="OP8qbV94iUQ1PL5T4MipyMi5cNDgELUplMqeBqR6B0c+Y7azeiaYkpOuZJRVovft0GceSVnUWRsCfDimueDF2g==" saltValue="rA3srQCJHmlm6dS0qmQwDw==" spinCount="100000" sheet="1" objects="1" scenarios="1"/>
  <mergeCells count="27">
    <mergeCell ref="C58:C59"/>
    <mergeCell ref="B56:B57"/>
    <mergeCell ref="A56:A57"/>
    <mergeCell ref="C62:C64"/>
    <mergeCell ref="A58:A67"/>
    <mergeCell ref="B58:B67"/>
    <mergeCell ref="B47:B55"/>
    <mergeCell ref="A47:A55"/>
    <mergeCell ref="A37:A39"/>
    <mergeCell ref="B37:B39"/>
    <mergeCell ref="A25:A36"/>
    <mergeCell ref="B25:B36"/>
    <mergeCell ref="A40:A46"/>
    <mergeCell ref="B40:B46"/>
    <mergeCell ref="E23:K23"/>
    <mergeCell ref="A22:A24"/>
    <mergeCell ref="B22:B24"/>
    <mergeCell ref="E24:K24"/>
    <mergeCell ref="E22:K22"/>
    <mergeCell ref="A19:A21"/>
    <mergeCell ref="B19:B21"/>
    <mergeCell ref="B11:B12"/>
    <mergeCell ref="A11:A12"/>
    <mergeCell ref="A13:A15"/>
    <mergeCell ref="B13:B15"/>
    <mergeCell ref="A16:A18"/>
    <mergeCell ref="B16:B18"/>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7030A0"/>
    <pageSetUpPr fitToPage="1"/>
  </sheetPr>
  <dimension ref="A1:AB86"/>
  <sheetViews>
    <sheetView showGridLines="0" zoomScale="85" zoomScaleNormal="85" workbookViewId="0">
      <selection activeCell="J83" sqref="J83:L83"/>
    </sheetView>
  </sheetViews>
  <sheetFormatPr baseColWidth="10" defaultColWidth="9.109375" defaultRowHeight="14.4" x14ac:dyDescent="0.3"/>
  <sheetData>
    <row r="1" spans="1:28" x14ac:dyDescent="0.3">
      <c r="A1" s="26"/>
      <c r="B1" s="26"/>
      <c r="C1" s="26"/>
      <c r="D1" s="26"/>
      <c r="E1" s="26"/>
      <c r="F1" s="26"/>
      <c r="G1" s="26"/>
      <c r="H1" s="26"/>
      <c r="I1" s="26"/>
      <c r="J1" s="26"/>
      <c r="K1" s="72"/>
      <c r="L1" s="72"/>
      <c r="M1" s="72"/>
      <c r="N1" s="72"/>
      <c r="O1" s="72"/>
      <c r="P1" s="72"/>
      <c r="Q1" s="26"/>
      <c r="R1" s="26"/>
      <c r="S1" s="26"/>
      <c r="T1" s="26"/>
      <c r="U1" s="74" t="s">
        <v>701</v>
      </c>
      <c r="V1" s="26"/>
      <c r="W1" s="26"/>
      <c r="X1" s="26"/>
      <c r="Y1" s="26"/>
      <c r="Z1" s="26"/>
      <c r="AA1" s="26"/>
      <c r="AB1" s="26"/>
    </row>
    <row r="2" spans="1:28" x14ac:dyDescent="0.3">
      <c r="A2" s="26"/>
      <c r="B2" s="26"/>
      <c r="C2" s="26"/>
      <c r="D2" s="26"/>
      <c r="E2" s="26"/>
      <c r="F2" s="26"/>
      <c r="G2" s="26"/>
      <c r="H2" s="26"/>
      <c r="I2" s="26"/>
      <c r="J2" s="26"/>
      <c r="K2" s="72"/>
      <c r="L2" s="72"/>
      <c r="M2" s="72"/>
      <c r="N2" s="72"/>
      <c r="O2" s="72"/>
      <c r="P2" s="72"/>
      <c r="Q2" s="26"/>
      <c r="R2" s="26"/>
      <c r="S2" s="26"/>
      <c r="T2" s="26"/>
      <c r="U2" s="74" t="s">
        <v>702</v>
      </c>
      <c r="V2" s="26"/>
      <c r="W2" s="26"/>
      <c r="X2" s="26"/>
      <c r="Y2" s="26"/>
      <c r="Z2" s="26"/>
      <c r="AA2" s="26"/>
      <c r="AB2" s="26"/>
    </row>
    <row r="3" spans="1:28" x14ac:dyDescent="0.3">
      <c r="A3" s="26"/>
      <c r="B3" s="26"/>
      <c r="C3" s="26"/>
      <c r="D3" s="26"/>
      <c r="E3" s="26"/>
      <c r="F3" s="26"/>
      <c r="G3" s="26"/>
      <c r="H3" s="26"/>
      <c r="I3" s="26"/>
      <c r="J3" s="26"/>
      <c r="K3" s="72"/>
      <c r="L3" s="72"/>
      <c r="M3" s="72"/>
      <c r="N3" s="72"/>
      <c r="O3" s="72"/>
      <c r="P3" s="72"/>
      <c r="Q3" s="26"/>
      <c r="R3" s="26"/>
      <c r="S3" s="26"/>
      <c r="T3" s="26"/>
      <c r="U3" s="73" t="s">
        <v>2543</v>
      </c>
      <c r="V3" s="26"/>
      <c r="W3" s="26"/>
      <c r="X3" s="26"/>
      <c r="Y3" s="26"/>
      <c r="Z3" s="26"/>
      <c r="AA3" s="26"/>
      <c r="AB3" s="26"/>
    </row>
    <row r="4" spans="1:28" x14ac:dyDescent="0.3">
      <c r="A4" s="26"/>
      <c r="B4" s="26"/>
      <c r="C4" s="26"/>
      <c r="D4" s="26"/>
      <c r="E4" s="26"/>
      <c r="F4" s="26"/>
      <c r="G4" s="26"/>
      <c r="H4" s="26"/>
      <c r="I4" s="26"/>
      <c r="J4" s="26"/>
      <c r="K4" s="26"/>
      <c r="L4" s="26"/>
      <c r="M4" s="26"/>
      <c r="N4" s="26"/>
      <c r="O4" s="26"/>
      <c r="P4" s="26"/>
      <c r="Q4" s="26"/>
      <c r="R4" s="26"/>
      <c r="S4" s="26"/>
      <c r="T4" s="26"/>
      <c r="U4" s="26"/>
      <c r="V4" s="26"/>
      <c r="W4" s="26"/>
      <c r="X4" s="26"/>
      <c r="Y4" s="26"/>
      <c r="Z4" s="26"/>
      <c r="AA4" s="661" t="str">
        <f>Accueil!I6</f>
        <v>Version 1.15</v>
      </c>
      <c r="AB4" s="661"/>
    </row>
    <row r="5" spans="1:28" x14ac:dyDescent="0.3">
      <c r="A5" s="26"/>
      <c r="B5" s="26"/>
      <c r="C5" s="26"/>
      <c r="D5" s="26"/>
      <c r="E5" s="26"/>
      <c r="F5" s="26"/>
      <c r="G5" s="26"/>
      <c r="H5" s="26"/>
      <c r="I5" s="26"/>
      <c r="J5" s="26"/>
      <c r="K5" s="26"/>
      <c r="L5" s="26"/>
      <c r="M5" s="26"/>
      <c r="N5" s="26"/>
      <c r="O5" s="26"/>
      <c r="P5" s="26"/>
      <c r="Q5" s="26"/>
      <c r="R5" s="26"/>
      <c r="S5" s="26"/>
      <c r="T5" s="26"/>
      <c r="U5" s="26"/>
      <c r="V5" s="26"/>
      <c r="W5" s="26"/>
      <c r="X5" s="26"/>
      <c r="Y5" s="26"/>
      <c r="Z5" s="26"/>
      <c r="AA5" s="26"/>
      <c r="AB5" s="26"/>
    </row>
    <row r="8" spans="1:28" ht="15" thickBot="1" x14ac:dyDescent="0.35">
      <c r="B8" s="70"/>
      <c r="P8" s="70"/>
    </row>
    <row r="9" spans="1:28" x14ac:dyDescent="0.3">
      <c r="B9" s="16"/>
      <c r="C9" s="93"/>
      <c r="D9" s="93"/>
      <c r="E9" s="93"/>
      <c r="F9" s="93"/>
      <c r="G9" s="93"/>
      <c r="H9" s="93"/>
      <c r="I9" s="93"/>
      <c r="J9" s="1019" t="s">
        <v>275</v>
      </c>
      <c r="K9" s="1019"/>
      <c r="L9" s="1019" t="s">
        <v>449</v>
      </c>
      <c r="M9" s="1019"/>
      <c r="N9" s="18"/>
      <c r="P9" s="16"/>
      <c r="Q9" s="93"/>
      <c r="R9" s="93"/>
      <c r="S9" s="93"/>
      <c r="T9" s="93"/>
      <c r="U9" s="93"/>
      <c r="V9" s="93"/>
      <c r="W9" s="93"/>
      <c r="X9" s="1026" t="s">
        <v>275</v>
      </c>
      <c r="Y9" s="1026"/>
      <c r="Z9" s="1019" t="s">
        <v>449</v>
      </c>
      <c r="AA9" s="1019"/>
      <c r="AB9" s="18"/>
    </row>
    <row r="10" spans="1:28" x14ac:dyDescent="0.3">
      <c r="B10" s="19"/>
      <c r="C10" s="104" t="s">
        <v>605</v>
      </c>
      <c r="D10" s="104"/>
      <c r="E10" s="104"/>
      <c r="F10" s="104"/>
      <c r="G10" s="104"/>
      <c r="H10" s="104"/>
      <c r="I10" s="105"/>
      <c r="J10" s="1022">
        <f>Biodiversité!W58</f>
        <v>0</v>
      </c>
      <c r="K10" s="1023"/>
      <c r="L10" s="1020">
        <f>Biodiversité!Y58</f>
        <v>9</v>
      </c>
      <c r="M10" s="1021"/>
      <c r="N10" s="20"/>
      <c r="P10" s="19"/>
      <c r="Q10" s="91" t="s">
        <v>608</v>
      </c>
      <c r="R10" s="91"/>
      <c r="S10" s="91"/>
      <c r="T10" s="91"/>
      <c r="U10" s="91"/>
      <c r="V10" s="490" t="str">
        <f>IF(UTILISATION_CMR1="Oui","AUDIT NON VALIDE","")</f>
        <v/>
      </c>
      <c r="W10" s="490"/>
      <c r="X10" s="1015">
        <f>Phyto!P25</f>
        <v>0</v>
      </c>
      <c r="Y10" s="1016"/>
      <c r="Z10" s="1017">
        <f>Phyto!W25</f>
        <v>2</v>
      </c>
      <c r="AA10" s="1018"/>
      <c r="AB10" s="20"/>
    </row>
    <row r="11" spans="1:28" x14ac:dyDescent="0.3">
      <c r="B11" s="19"/>
      <c r="C11" s="106" t="s">
        <v>276</v>
      </c>
      <c r="D11" s="106"/>
      <c r="E11" s="106"/>
      <c r="F11" s="106"/>
      <c r="G11" s="106"/>
      <c r="H11" s="106"/>
      <c r="I11" s="107"/>
      <c r="J11" s="1022">
        <f>Biodiversité!S85</f>
        <v>0</v>
      </c>
      <c r="K11" s="1023"/>
      <c r="L11" s="1020">
        <f>Biodiversité!W85</f>
        <v>5</v>
      </c>
      <c r="M11" s="1021"/>
      <c r="N11" s="20"/>
      <c r="P11" s="19"/>
      <c r="Q11" s="92" t="s">
        <v>320</v>
      </c>
      <c r="R11" s="92"/>
      <c r="S11" s="92"/>
      <c r="T11" s="92"/>
      <c r="U11" s="92"/>
      <c r="V11" s="92"/>
      <c r="W11" s="92"/>
      <c r="X11" s="1015">
        <f>Phyto!P55</f>
        <v>0</v>
      </c>
      <c r="Y11" s="1016"/>
      <c r="Z11" s="1017">
        <f>Phyto!W55</f>
        <v>10</v>
      </c>
      <c r="AA11" s="1018"/>
      <c r="AB11" s="20"/>
    </row>
    <row r="12" spans="1:28" x14ac:dyDescent="0.3">
      <c r="B12" s="19"/>
      <c r="C12" s="106" t="s">
        <v>277</v>
      </c>
      <c r="D12" s="106"/>
      <c r="E12" s="106"/>
      <c r="F12" s="106"/>
      <c r="G12" s="106"/>
      <c r="H12" s="106"/>
      <c r="I12" s="107"/>
      <c r="J12" s="1022">
        <f>Biodiversité!Q112</f>
        <v>0</v>
      </c>
      <c r="K12" s="1023"/>
      <c r="L12" s="1020">
        <f>Biodiversité!W85</f>
        <v>5</v>
      </c>
      <c r="M12" s="1021"/>
      <c r="N12" s="20"/>
      <c r="P12" s="19"/>
      <c r="Q12" s="92" t="s">
        <v>609</v>
      </c>
      <c r="R12" s="92"/>
      <c r="S12" s="92"/>
      <c r="T12" s="92"/>
      <c r="U12" s="92"/>
      <c r="V12" s="92"/>
      <c r="W12" s="92"/>
      <c r="X12" s="1015">
        <f>Phyto!M124</f>
        <v>0</v>
      </c>
      <c r="Y12" s="1016"/>
      <c r="Z12" s="1017">
        <f>Phyto!O124</f>
        <v>10</v>
      </c>
      <c r="AA12" s="1018"/>
      <c r="AB12" s="20"/>
    </row>
    <row r="13" spans="1:28" x14ac:dyDescent="0.3">
      <c r="B13" s="19"/>
      <c r="C13" s="106" t="s">
        <v>278</v>
      </c>
      <c r="D13" s="106"/>
      <c r="E13" s="106"/>
      <c r="F13" s="106"/>
      <c r="G13" s="106"/>
      <c r="H13" s="106"/>
      <c r="I13" s="107"/>
      <c r="J13" s="1022">
        <f>Biodiversité!O154</f>
        <v>0</v>
      </c>
      <c r="K13" s="1023"/>
      <c r="L13" s="1020">
        <f>Biodiversité!W154</f>
        <v>6</v>
      </c>
      <c r="M13" s="1021"/>
      <c r="N13" s="20"/>
      <c r="P13" s="19"/>
      <c r="Q13" s="92" t="s">
        <v>2364</v>
      </c>
      <c r="R13" s="92"/>
      <c r="S13" s="92"/>
      <c r="T13" s="92"/>
      <c r="U13" s="92"/>
      <c r="V13" s="92"/>
      <c r="W13" s="92"/>
      <c r="X13" s="1015">
        <f>Phyto!S160</f>
        <v>0</v>
      </c>
      <c r="Y13" s="1016"/>
      <c r="Z13" s="1017">
        <f>Phyto!W160</f>
        <v>5</v>
      </c>
      <c r="AA13" s="1018"/>
      <c r="AB13" s="20"/>
    </row>
    <row r="14" spans="1:28" x14ac:dyDescent="0.3">
      <c r="B14" s="19"/>
      <c r="C14" s="106" t="s">
        <v>279</v>
      </c>
      <c r="D14" s="106"/>
      <c r="E14" s="106"/>
      <c r="F14" s="106"/>
      <c r="G14" s="106"/>
      <c r="H14" s="106"/>
      <c r="I14" s="107"/>
      <c r="J14" s="1022">
        <f>Biodiversité!L180</f>
        <v>0</v>
      </c>
      <c r="K14" s="1023"/>
      <c r="L14" s="1020">
        <f>Biodiversité!W180</f>
        <v>3</v>
      </c>
      <c r="M14" s="1021"/>
      <c r="N14" s="20"/>
      <c r="P14" s="19"/>
      <c r="Q14" s="92" t="s">
        <v>321</v>
      </c>
      <c r="R14" s="92"/>
      <c r="S14" s="92"/>
      <c r="T14" s="92"/>
      <c r="U14" s="92"/>
      <c r="V14" s="92"/>
      <c r="W14" s="92"/>
      <c r="X14" s="1015">
        <f>Phyto!R200</f>
        <v>0</v>
      </c>
      <c r="Y14" s="1016"/>
      <c r="Z14" s="1017">
        <f>Phyto!W200</f>
        <v>3</v>
      </c>
      <c r="AA14" s="1018"/>
      <c r="AB14" s="20"/>
    </row>
    <row r="15" spans="1:28" x14ac:dyDescent="0.3">
      <c r="B15" s="19"/>
      <c r="C15" s="106" t="s">
        <v>606</v>
      </c>
      <c r="D15" s="106"/>
      <c r="E15" s="106"/>
      <c r="F15" s="106"/>
      <c r="G15" s="106"/>
      <c r="H15" s="106"/>
      <c r="I15" s="107"/>
      <c r="J15" s="1022">
        <f>Biodiversité!L199</f>
        <v>0</v>
      </c>
      <c r="K15" s="1023"/>
      <c r="L15" s="1020">
        <f>Biodiversité!W199</f>
        <v>1</v>
      </c>
      <c r="M15" s="1021"/>
      <c r="N15" s="20"/>
      <c r="P15" s="19"/>
      <c r="Q15" s="92" t="s">
        <v>610</v>
      </c>
      <c r="R15" s="92"/>
      <c r="S15" s="92"/>
      <c r="T15" s="92"/>
      <c r="U15" s="92"/>
      <c r="V15" s="92"/>
      <c r="W15" s="92"/>
      <c r="X15" s="1015">
        <f>Phyto!P242</f>
        <v>0</v>
      </c>
      <c r="Y15" s="1016"/>
      <c r="Z15" s="1017">
        <f>Phyto!W242</f>
        <v>6</v>
      </c>
      <c r="AA15" s="1018"/>
      <c r="AB15" s="20"/>
    </row>
    <row r="16" spans="1:28" x14ac:dyDescent="0.3">
      <c r="B16" s="19"/>
      <c r="C16" s="106" t="s">
        <v>607</v>
      </c>
      <c r="D16" s="106"/>
      <c r="E16" s="106"/>
      <c r="F16" s="106"/>
      <c r="G16" s="106"/>
      <c r="H16" s="106"/>
      <c r="I16" s="107"/>
      <c r="J16" s="1024">
        <f>Biodiversité!L231</f>
        <v>0</v>
      </c>
      <c r="K16" s="1025"/>
      <c r="L16" s="1020">
        <f>Biodiversité!W231</f>
        <v>6</v>
      </c>
      <c r="M16" s="1021"/>
      <c r="N16" s="20"/>
      <c r="P16" s="19"/>
      <c r="Q16" s="92" t="s">
        <v>611</v>
      </c>
      <c r="R16" s="92"/>
      <c r="S16" s="92"/>
      <c r="T16" s="92"/>
      <c r="U16" s="92"/>
      <c r="V16" s="92"/>
      <c r="W16" s="92"/>
      <c r="X16" s="1015">
        <f>Phyto!D266</f>
        <v>0</v>
      </c>
      <c r="Y16" s="1016"/>
      <c r="Z16" s="1017">
        <f>Phyto!W266</f>
        <v>2</v>
      </c>
      <c r="AA16" s="1018"/>
      <c r="AB16" s="20"/>
    </row>
    <row r="17" spans="2:28" x14ac:dyDescent="0.3">
      <c r="B17" s="19"/>
      <c r="C17" s="106" t="s">
        <v>2496</v>
      </c>
      <c r="D17" s="106"/>
      <c r="E17" s="106"/>
      <c r="F17" s="106"/>
      <c r="G17" s="106"/>
      <c r="H17" s="106"/>
      <c r="I17" s="107"/>
      <c r="J17" s="1024">
        <f>Biodiversité!O247</f>
        <v>0</v>
      </c>
      <c r="K17" s="1025"/>
      <c r="L17" s="1020">
        <f>Biodiversité!W247</f>
        <v>1</v>
      </c>
      <c r="M17" s="1021"/>
      <c r="N17" s="20"/>
      <c r="P17" s="19"/>
      <c r="Q17" s="92" t="s">
        <v>322</v>
      </c>
      <c r="R17" s="92"/>
      <c r="S17" s="92"/>
      <c r="T17" s="92"/>
      <c r="U17" s="92"/>
      <c r="V17" s="92"/>
      <c r="W17" s="92"/>
      <c r="X17" s="1015">
        <f>Phyto!L299</f>
        <v>0</v>
      </c>
      <c r="Y17" s="1016"/>
      <c r="Z17" s="1017">
        <f>Phyto!W299</f>
        <v>6</v>
      </c>
      <c r="AA17" s="1018"/>
      <c r="AB17" s="20"/>
    </row>
    <row r="18" spans="2:28" x14ac:dyDescent="0.3">
      <c r="B18" s="19"/>
      <c r="J18" s="115"/>
      <c r="K18" s="115"/>
      <c r="L18" s="115"/>
      <c r="M18" s="115"/>
      <c r="N18" s="20"/>
      <c r="P18" s="19"/>
      <c r="Q18" s="92" t="s">
        <v>2365</v>
      </c>
      <c r="R18" s="92"/>
      <c r="S18" s="92"/>
      <c r="T18" s="92"/>
      <c r="U18" s="92"/>
      <c r="V18" s="92"/>
      <c r="W18" s="92"/>
      <c r="X18" s="1015">
        <f>Phyto!L332</f>
        <v>0</v>
      </c>
      <c r="Y18" s="1016"/>
      <c r="Z18" s="1017">
        <f>Phyto!W332</f>
        <v>9</v>
      </c>
      <c r="AA18" s="1018"/>
      <c r="AB18" s="20"/>
    </row>
    <row r="19" spans="2:28" x14ac:dyDescent="0.3">
      <c r="B19" s="19"/>
      <c r="J19" s="115"/>
      <c r="K19" s="115"/>
      <c r="L19" s="115"/>
      <c r="M19" s="115"/>
      <c r="N19" s="20"/>
      <c r="P19" s="19"/>
      <c r="Q19" s="92" t="s">
        <v>323</v>
      </c>
      <c r="R19" s="92"/>
      <c r="S19" s="92"/>
      <c r="T19" s="92"/>
      <c r="U19" s="92"/>
      <c r="V19" s="92"/>
      <c r="W19" s="92"/>
      <c r="X19" s="1015">
        <f>Phyto!N366</f>
        <v>0</v>
      </c>
      <c r="Y19" s="1016"/>
      <c r="Z19" s="1017">
        <f>Phyto!W366</f>
        <v>10</v>
      </c>
      <c r="AA19" s="1018"/>
      <c r="AB19" s="20"/>
    </row>
    <row r="20" spans="2:28" x14ac:dyDescent="0.3">
      <c r="B20" s="19"/>
      <c r="H20" s="595" t="s">
        <v>266</v>
      </c>
      <c r="I20" s="595"/>
      <c r="J20" s="1006">
        <f>SUM(J10:K17)</f>
        <v>0</v>
      </c>
      <c r="K20" s="1006"/>
      <c r="L20" s="1006">
        <f>SUM(L10:M17)</f>
        <v>36</v>
      </c>
      <c r="M20" s="1006"/>
      <c r="N20" s="20"/>
      <c r="P20" s="19"/>
      <c r="V20" s="595" t="s">
        <v>266</v>
      </c>
      <c r="W20" s="595"/>
      <c r="X20" s="1001">
        <f>SUM(X10:Y19)</f>
        <v>0</v>
      </c>
      <c r="Y20" s="1001"/>
      <c r="Z20" s="1001">
        <f>SUM(Z10:AA19)</f>
        <v>63</v>
      </c>
      <c r="AA20" s="1001"/>
      <c r="AB20" s="20"/>
    </row>
    <row r="21" spans="2:28" ht="15" thickBot="1" x14ac:dyDescent="0.35">
      <c r="B21" s="22"/>
      <c r="C21" s="23"/>
      <c r="D21" s="23"/>
      <c r="E21" s="23"/>
      <c r="F21" s="23"/>
      <c r="G21" s="23"/>
      <c r="H21" s="23"/>
      <c r="I21" s="23"/>
      <c r="J21" s="23"/>
      <c r="K21" s="23"/>
      <c r="L21" s="23"/>
      <c r="M21" s="23"/>
      <c r="N21" s="24"/>
      <c r="P21" s="22"/>
      <c r="Q21" s="23"/>
      <c r="R21" s="23"/>
      <c r="S21" s="23"/>
      <c r="T21" s="23"/>
      <c r="U21" s="23"/>
      <c r="V21" s="23"/>
      <c r="W21" s="23"/>
      <c r="X21" s="491"/>
      <c r="Y21" s="491"/>
      <c r="Z21" s="491"/>
      <c r="AA21" s="491"/>
      <c r="AB21" s="24"/>
    </row>
    <row r="25" spans="2:28" ht="15" thickBot="1" x14ac:dyDescent="0.35">
      <c r="B25" s="70"/>
    </row>
    <row r="26" spans="2:28" x14ac:dyDescent="0.3">
      <c r="B26" s="16"/>
      <c r="C26" s="93"/>
      <c r="D26" s="93"/>
      <c r="E26" s="93"/>
      <c r="F26" s="93"/>
      <c r="G26" s="93"/>
      <c r="H26" s="93"/>
      <c r="I26" s="93"/>
      <c r="J26" s="1026" t="s">
        <v>275</v>
      </c>
      <c r="K26" s="1026"/>
      <c r="L26" s="1019" t="s">
        <v>449</v>
      </c>
      <c r="M26" s="1019"/>
      <c r="N26" s="18"/>
      <c r="P26" s="16"/>
      <c r="Q26" s="93"/>
      <c r="R26" s="93"/>
      <c r="S26" s="93"/>
      <c r="T26" s="93"/>
      <c r="U26" s="93"/>
      <c r="V26" s="93"/>
      <c r="W26" s="93"/>
      <c r="X26" s="1026" t="s">
        <v>275</v>
      </c>
      <c r="Y26" s="1026"/>
      <c r="Z26" s="1019" t="s">
        <v>449</v>
      </c>
      <c r="AA26" s="1019"/>
      <c r="AB26" s="18"/>
    </row>
    <row r="27" spans="2:28" x14ac:dyDescent="0.3">
      <c r="B27" s="19"/>
      <c r="C27" s="91" t="s">
        <v>730</v>
      </c>
      <c r="D27" s="91"/>
      <c r="E27" s="91"/>
      <c r="F27" s="91"/>
      <c r="G27" s="91"/>
      <c r="H27" s="91"/>
      <c r="I27" s="91"/>
      <c r="J27" s="1027">
        <f>Fertilisation!P64</f>
        <v>0</v>
      </c>
      <c r="K27" s="1028"/>
      <c r="L27" s="1033">
        <f>Fertilisation!W64</f>
        <v>8</v>
      </c>
      <c r="M27" s="1021"/>
      <c r="N27" s="20"/>
      <c r="P27" s="19"/>
      <c r="Q27" s="91" t="s">
        <v>2500</v>
      </c>
      <c r="R27" s="91"/>
      <c r="S27" s="91"/>
      <c r="T27" s="91"/>
      <c r="U27" s="91"/>
      <c r="V27" s="91"/>
      <c r="W27" s="91"/>
      <c r="X27" s="1015">
        <f>Irrigation!M51</f>
        <v>0</v>
      </c>
      <c r="Y27" s="1016"/>
      <c r="Z27" s="1017">
        <f>Irrigation!W51</f>
        <v>6</v>
      </c>
      <c r="AA27" s="1018"/>
      <c r="AB27" s="20"/>
    </row>
    <row r="28" spans="2:28" x14ac:dyDescent="0.3">
      <c r="B28" s="19"/>
      <c r="C28" s="92" t="s">
        <v>2366</v>
      </c>
      <c r="D28" s="92"/>
      <c r="E28" s="92"/>
      <c r="F28" s="92"/>
      <c r="G28" s="92"/>
      <c r="H28" s="92"/>
      <c r="I28" s="92"/>
      <c r="J28" s="1027">
        <f>Fertilisation!S100</f>
        <v>0</v>
      </c>
      <c r="K28" s="1028"/>
      <c r="L28" s="1020">
        <f>Fertilisation!W100</f>
        <v>5</v>
      </c>
      <c r="M28" s="1021"/>
      <c r="N28" s="20"/>
      <c r="P28" s="19"/>
      <c r="Q28" s="92" t="s">
        <v>612</v>
      </c>
      <c r="R28" s="92"/>
      <c r="S28" s="92"/>
      <c r="T28" s="92"/>
      <c r="U28" s="92"/>
      <c r="V28" s="92"/>
      <c r="W28" s="92"/>
      <c r="X28" s="1015">
        <f>Irrigation!O92</f>
        <v>0</v>
      </c>
      <c r="Y28" s="1016"/>
      <c r="Z28" s="1017">
        <f>Irrigation!W92</f>
        <v>2</v>
      </c>
      <c r="AA28" s="1018"/>
      <c r="AB28" s="20"/>
    </row>
    <row r="29" spans="2:28" x14ac:dyDescent="0.3">
      <c r="B29" s="19"/>
      <c r="C29" s="92" t="s">
        <v>339</v>
      </c>
      <c r="D29" s="92"/>
      <c r="E29" s="92"/>
      <c r="F29" s="92"/>
      <c r="G29" s="92"/>
      <c r="H29" s="92"/>
      <c r="I29" s="92"/>
      <c r="J29" s="1027">
        <f>Fertilisation!$P$122</f>
        <v>0</v>
      </c>
      <c r="K29" s="1028"/>
      <c r="L29" s="1020">
        <f>Fertilisation!W122</f>
        <v>4</v>
      </c>
      <c r="M29" s="1021"/>
      <c r="N29" s="20"/>
      <c r="P29" s="19"/>
      <c r="Q29" s="92" t="s">
        <v>2501</v>
      </c>
      <c r="R29" s="92"/>
      <c r="S29" s="92"/>
      <c r="T29" s="92"/>
      <c r="U29" s="92"/>
      <c r="V29" s="92"/>
      <c r="W29" s="92"/>
      <c r="X29" s="1015">
        <f>Irrigation!L124</f>
        <v>0</v>
      </c>
      <c r="Y29" s="1016"/>
      <c r="Z29" s="1017">
        <f>Irrigation!W124</f>
        <v>6</v>
      </c>
      <c r="AA29" s="1018"/>
      <c r="AB29" s="20"/>
    </row>
    <row r="30" spans="2:28" x14ac:dyDescent="0.3">
      <c r="B30" s="19"/>
      <c r="C30" s="92" t="s">
        <v>340</v>
      </c>
      <c r="D30" s="92"/>
      <c r="E30" s="92"/>
      <c r="F30" s="92"/>
      <c r="G30" s="92"/>
      <c r="H30" s="92"/>
      <c r="I30" s="92"/>
      <c r="J30" s="1029">
        <f>Fertilisation!P191</f>
        <v>0</v>
      </c>
      <c r="K30" s="1030"/>
      <c r="L30" s="1020">
        <f>Fertilisation!W191</f>
        <v>3</v>
      </c>
      <c r="M30" s="1021"/>
      <c r="N30" s="20"/>
      <c r="P30" s="19"/>
      <c r="Q30" s="92" t="s">
        <v>370</v>
      </c>
      <c r="R30" s="92"/>
      <c r="S30" s="92"/>
      <c r="T30" s="92"/>
      <c r="U30" s="92"/>
      <c r="V30" s="92"/>
      <c r="W30" s="92"/>
      <c r="X30" s="1015">
        <f>Irrigation!D139</f>
        <v>0</v>
      </c>
      <c r="Y30" s="1016"/>
      <c r="Z30" s="1017">
        <f>Irrigation!W139</f>
        <v>2</v>
      </c>
      <c r="AA30" s="1018"/>
      <c r="AB30" s="20"/>
    </row>
    <row r="31" spans="2:28" x14ac:dyDescent="0.3">
      <c r="B31" s="19"/>
      <c r="C31" s="92" t="s">
        <v>341</v>
      </c>
      <c r="D31" s="92"/>
      <c r="E31" s="92"/>
      <c r="F31" s="92"/>
      <c r="G31" s="92"/>
      <c r="H31" s="92"/>
      <c r="I31" s="92"/>
      <c r="J31" s="1027">
        <f>Fertilisation!$L$215</f>
        <v>0</v>
      </c>
      <c r="K31" s="1028"/>
      <c r="L31" s="1020">
        <f>Fertilisation!W215</f>
        <v>10</v>
      </c>
      <c r="M31" s="1021"/>
      <c r="N31" s="20"/>
      <c r="P31" s="19"/>
      <c r="Q31" s="92" t="s">
        <v>377</v>
      </c>
      <c r="R31" s="92"/>
      <c r="S31" s="92"/>
      <c r="T31" s="92"/>
      <c r="U31" s="92"/>
      <c r="V31" s="92"/>
      <c r="W31" s="92"/>
      <c r="X31" s="1015">
        <f>Irrigation!N167</f>
        <v>0</v>
      </c>
      <c r="Y31" s="1016"/>
      <c r="Z31" s="1017">
        <f>Irrigation!W167</f>
        <v>6</v>
      </c>
      <c r="AA31" s="1018"/>
      <c r="AB31" s="20"/>
    </row>
    <row r="32" spans="2:28" x14ac:dyDescent="0.3">
      <c r="B32" s="19"/>
      <c r="C32" s="92" t="s">
        <v>342</v>
      </c>
      <c r="D32" s="92"/>
      <c r="E32" s="92"/>
      <c r="F32" s="92"/>
      <c r="G32" s="92"/>
      <c r="H32" s="92"/>
      <c r="I32" s="92"/>
      <c r="J32" s="1027">
        <f>Fertilisation!$P$243</f>
        <v>0</v>
      </c>
      <c r="K32" s="1028"/>
      <c r="L32" s="1020">
        <f>Fertilisation!W243</f>
        <v>4</v>
      </c>
      <c r="M32" s="1021"/>
      <c r="N32" s="20"/>
      <c r="P32" s="19"/>
      <c r="Q32" s="92" t="s">
        <v>374</v>
      </c>
      <c r="R32" s="92"/>
      <c r="S32" s="92"/>
      <c r="T32" s="92"/>
      <c r="U32" s="92"/>
      <c r="V32" s="92"/>
      <c r="W32" s="92"/>
      <c r="X32" s="1015">
        <f>Irrigation!M190</f>
        <v>0</v>
      </c>
      <c r="Y32" s="1016"/>
      <c r="Z32" s="1017">
        <f>Irrigation!W190</f>
        <v>5</v>
      </c>
      <c r="AA32" s="1018"/>
      <c r="AB32" s="20"/>
    </row>
    <row r="33" spans="2:28" x14ac:dyDescent="0.3">
      <c r="B33" s="19"/>
      <c r="C33" s="92" t="s">
        <v>343</v>
      </c>
      <c r="D33" s="92"/>
      <c r="E33" s="92"/>
      <c r="F33" s="92"/>
      <c r="G33" s="92"/>
      <c r="H33" s="92"/>
      <c r="I33" s="92"/>
      <c r="J33" s="1027">
        <f>Fertilisation!Q300</f>
        <v>0</v>
      </c>
      <c r="K33" s="1028"/>
      <c r="L33" s="1020">
        <f>Fertilisation!W300</f>
        <v>7</v>
      </c>
      <c r="M33" s="1021"/>
      <c r="N33" s="20"/>
      <c r="P33" s="19"/>
      <c r="Q33" s="92" t="s">
        <v>323</v>
      </c>
      <c r="R33" s="92"/>
      <c r="S33" s="92"/>
      <c r="T33" s="92"/>
      <c r="U33" s="92"/>
      <c r="V33" s="92"/>
      <c r="W33" s="92"/>
      <c r="X33" s="1015">
        <f>Irrigation!N219</f>
        <v>0</v>
      </c>
      <c r="Y33" s="1016"/>
      <c r="Z33" s="1017">
        <f>Irrigation!W219</f>
        <v>6</v>
      </c>
      <c r="AA33" s="1018"/>
      <c r="AB33" s="20"/>
    </row>
    <row r="34" spans="2:28" x14ac:dyDescent="0.3">
      <c r="B34" s="19"/>
      <c r="C34" s="92" t="s">
        <v>2388</v>
      </c>
      <c r="D34" s="92"/>
      <c r="E34" s="92"/>
      <c r="F34" s="92"/>
      <c r="G34" s="92"/>
      <c r="H34" s="92"/>
      <c r="I34" s="92"/>
      <c r="J34" s="1027">
        <f>Fertilisation!$Q$325</f>
        <v>0</v>
      </c>
      <c r="K34" s="1028"/>
      <c r="L34" s="1020">
        <f>Fertilisation!W325</f>
        <v>6</v>
      </c>
      <c r="M34" s="1021"/>
      <c r="N34" s="20"/>
      <c r="P34" s="19"/>
      <c r="Q34" s="92" t="s">
        <v>378</v>
      </c>
      <c r="R34" s="92"/>
      <c r="S34" s="92"/>
      <c r="T34" s="92"/>
      <c r="U34" s="92"/>
      <c r="V34" s="92"/>
      <c r="W34" s="92"/>
      <c r="X34" s="1015">
        <f>Irrigation!P242</f>
        <v>0</v>
      </c>
      <c r="Y34" s="1016"/>
      <c r="Z34" s="1017">
        <f>Irrigation!W242</f>
        <v>1</v>
      </c>
      <c r="AA34" s="1018"/>
      <c r="AB34" s="20"/>
    </row>
    <row r="35" spans="2:28" x14ac:dyDescent="0.3">
      <c r="B35" s="19"/>
      <c r="C35" s="92" t="s">
        <v>323</v>
      </c>
      <c r="D35" s="92"/>
      <c r="E35" s="92"/>
      <c r="F35" s="92"/>
      <c r="G35" s="92"/>
      <c r="H35" s="92"/>
      <c r="I35" s="92"/>
      <c r="J35" s="1027">
        <f>Fertilisation!N353</f>
        <v>0</v>
      </c>
      <c r="K35" s="1028"/>
      <c r="L35" s="1020">
        <f>Fertilisation!W353</f>
        <v>6</v>
      </c>
      <c r="M35" s="1021"/>
      <c r="N35" s="20"/>
      <c r="P35" s="19"/>
      <c r="Q35" s="109"/>
      <c r="R35" s="109"/>
      <c r="S35" s="109"/>
      <c r="T35" s="109"/>
      <c r="U35" s="109"/>
      <c r="V35" s="109"/>
      <c r="W35" s="109"/>
      <c r="X35" s="1031"/>
      <c r="Y35" s="1031"/>
      <c r="Z35" s="120"/>
      <c r="AA35" s="120"/>
      <c r="AB35" s="20"/>
    </row>
    <row r="36" spans="2:28" x14ac:dyDescent="0.3">
      <c r="B36" s="19"/>
      <c r="C36" s="109"/>
      <c r="D36" s="109"/>
      <c r="E36" s="109"/>
      <c r="F36" s="109"/>
      <c r="G36" s="109"/>
      <c r="H36" s="109"/>
      <c r="I36" s="109"/>
      <c r="J36" s="1031"/>
      <c r="K36" s="1031"/>
      <c r="L36" s="120"/>
      <c r="M36" s="120"/>
      <c r="N36" s="20"/>
      <c r="P36" s="19"/>
      <c r="Q36" s="65"/>
      <c r="R36" s="65"/>
      <c r="S36" s="65"/>
      <c r="T36" s="65"/>
      <c r="U36" s="65"/>
      <c r="V36" s="65"/>
      <c r="W36" s="65"/>
      <c r="X36" s="1032"/>
      <c r="Y36" s="1032"/>
      <c r="Z36" s="120"/>
      <c r="AA36" s="120"/>
      <c r="AB36" s="20"/>
    </row>
    <row r="37" spans="2:28" x14ac:dyDescent="0.3">
      <c r="B37" s="19"/>
      <c r="H37" s="595" t="s">
        <v>266</v>
      </c>
      <c r="I37" s="595"/>
      <c r="J37" s="1006">
        <f>SUM(J27:K35)</f>
        <v>0</v>
      </c>
      <c r="K37" s="1006"/>
      <c r="L37" s="1006">
        <f>SUM(L27:M35)</f>
        <v>53</v>
      </c>
      <c r="M37" s="1006"/>
      <c r="N37" s="20"/>
      <c r="P37" s="19"/>
      <c r="V37" s="595" t="s">
        <v>266</v>
      </c>
      <c r="W37" s="595"/>
      <c r="X37" s="1001">
        <f>IF(cIrriguante="Non","Sans objet",SUM(X27:Y36))</f>
        <v>0</v>
      </c>
      <c r="Y37" s="1001"/>
      <c r="Z37" s="1001">
        <f>IF(cIrriguante="Non","Sans objet",SUM(Z27:AA34))</f>
        <v>34</v>
      </c>
      <c r="AA37" s="1001"/>
      <c r="AB37" s="20"/>
    </row>
    <row r="38" spans="2:28" ht="15" thickBot="1" x14ac:dyDescent="0.35">
      <c r="B38" s="22"/>
      <c r="C38" s="23"/>
      <c r="D38" s="23"/>
      <c r="E38" s="23"/>
      <c r="F38" s="23"/>
      <c r="G38" s="23"/>
      <c r="H38" s="23"/>
      <c r="I38" s="23"/>
      <c r="J38" s="23"/>
      <c r="K38" s="23"/>
      <c r="L38" s="23"/>
      <c r="M38" s="23"/>
      <c r="N38" s="24"/>
      <c r="P38" s="22"/>
      <c r="Q38" s="23"/>
      <c r="R38" s="23"/>
      <c r="S38" s="23"/>
      <c r="T38" s="23"/>
      <c r="U38" s="23"/>
      <c r="V38" s="23"/>
      <c r="W38" s="23"/>
      <c r="X38" s="23"/>
      <c r="Y38" s="23"/>
      <c r="Z38" s="23"/>
      <c r="AA38" s="23"/>
      <c r="AB38" s="24"/>
    </row>
    <row r="41" spans="2:28" ht="15" thickBot="1" x14ac:dyDescent="0.35"/>
    <row r="42" spans="2:28" ht="15" customHeight="1" x14ac:dyDescent="0.3">
      <c r="B42" s="16"/>
      <c r="C42" s="17"/>
      <c r="D42" s="17"/>
      <c r="E42" s="17"/>
      <c r="F42" s="17"/>
      <c r="G42" s="17"/>
      <c r="H42" s="17"/>
      <c r="I42" s="17"/>
      <c r="J42" s="17"/>
      <c r="K42" s="17"/>
      <c r="L42" s="17"/>
      <c r="M42" s="17"/>
      <c r="N42" s="18"/>
      <c r="P42" s="1004" t="str">
        <f>IF(UTILISATION_CMR1="Oui","Résultats non conformes au référentiel",IF(COUNTIF(L44:L47,"OK")=4,"Résultats conformes au référentiel","Résultats non conformes au référentiel"))</f>
        <v>Résultats non conformes au référentiel</v>
      </c>
      <c r="Q42" s="1004"/>
      <c r="R42" s="1004"/>
      <c r="S42" s="1004"/>
      <c r="T42" s="1004"/>
      <c r="U42" s="1004"/>
      <c r="V42" s="1004"/>
      <c r="W42" s="1004"/>
      <c r="X42" s="1004"/>
      <c r="Y42" s="1004"/>
      <c r="Z42" s="1004"/>
      <c r="AA42" s="1004"/>
      <c r="AB42" s="1004"/>
    </row>
    <row r="43" spans="2:28" ht="15" customHeight="1" x14ac:dyDescent="0.3">
      <c r="B43" s="19"/>
      <c r="L43" s="179"/>
      <c r="N43" s="20"/>
      <c r="P43" s="1004"/>
      <c r="Q43" s="1004"/>
      <c r="R43" s="1004"/>
      <c r="S43" s="1004"/>
      <c r="T43" s="1004"/>
      <c r="U43" s="1004"/>
      <c r="V43" s="1004"/>
      <c r="W43" s="1004"/>
      <c r="X43" s="1004"/>
      <c r="Y43" s="1004"/>
      <c r="Z43" s="1004"/>
      <c r="AA43" s="1004"/>
      <c r="AB43" s="1004"/>
    </row>
    <row r="44" spans="2:28" x14ac:dyDescent="0.3">
      <c r="B44" s="19"/>
      <c r="C44" s="39" t="s">
        <v>615</v>
      </c>
      <c r="D44" s="39"/>
      <c r="E44" s="39"/>
      <c r="F44" s="39"/>
      <c r="G44" s="39"/>
      <c r="H44" s="39"/>
      <c r="I44" s="112"/>
      <c r="J44" s="1007">
        <f>J20</f>
        <v>0</v>
      </c>
      <c r="K44" s="1008"/>
      <c r="L44" s="180" t="str">
        <f>IF(J44&gt;=10,"OK","KO")</f>
        <v>KO</v>
      </c>
      <c r="M44" s="119"/>
      <c r="N44" s="20"/>
      <c r="P44" s="1004"/>
      <c r="Q44" s="1004"/>
      <c r="R44" s="1004"/>
      <c r="S44" s="1004"/>
      <c r="T44" s="1004"/>
      <c r="U44" s="1004"/>
      <c r="V44" s="1004"/>
      <c r="W44" s="1004"/>
      <c r="X44" s="1004"/>
      <c r="Y44" s="1004"/>
      <c r="Z44" s="1004"/>
      <c r="AA44" s="1004"/>
      <c r="AB44" s="1004"/>
    </row>
    <row r="45" spans="2:28" x14ac:dyDescent="0.3">
      <c r="B45" s="19"/>
      <c r="C45" s="86" t="s">
        <v>613</v>
      </c>
      <c r="D45" s="86"/>
      <c r="E45" s="86"/>
      <c r="F45" s="86"/>
      <c r="G45" s="86"/>
      <c r="H45" s="86"/>
      <c r="I45" s="87"/>
      <c r="J45" s="1007">
        <f>X20</f>
        <v>0</v>
      </c>
      <c r="K45" s="1008"/>
      <c r="L45" s="496" t="str">
        <f>IF(UTILISATION_CMR1="Oui","AUDIT NON VALIDE",IF(J45&gt;=10,"OK","KO"))</f>
        <v>KO</v>
      </c>
      <c r="M45" s="119"/>
      <c r="N45" s="20"/>
      <c r="P45" s="1004"/>
      <c r="Q45" s="1004"/>
      <c r="R45" s="1004"/>
      <c r="S45" s="1004"/>
      <c r="T45" s="1004"/>
      <c r="U45" s="1004"/>
      <c r="V45" s="1004"/>
      <c r="W45" s="1004"/>
      <c r="X45" s="1004"/>
      <c r="Y45" s="1004"/>
      <c r="Z45" s="1004"/>
      <c r="AA45" s="1004"/>
      <c r="AB45" s="1004"/>
    </row>
    <row r="46" spans="2:28" x14ac:dyDescent="0.3">
      <c r="B46" s="19"/>
      <c r="C46" s="86" t="s">
        <v>614</v>
      </c>
      <c r="D46" s="86"/>
      <c r="E46" s="86"/>
      <c r="F46" s="86"/>
      <c r="G46" s="86"/>
      <c r="H46" s="86"/>
      <c r="I46" s="87"/>
      <c r="J46" s="1007">
        <f>J37</f>
        <v>0</v>
      </c>
      <c r="K46" s="1008"/>
      <c r="L46" s="180" t="str">
        <f>IF(J46&gt;=10,"OK","KO")</f>
        <v>KO</v>
      </c>
      <c r="M46" s="119"/>
      <c r="N46" s="20"/>
      <c r="P46" s="1004"/>
      <c r="Q46" s="1004"/>
      <c r="R46" s="1004"/>
      <c r="S46" s="1004"/>
      <c r="T46" s="1004"/>
      <c r="U46" s="1004"/>
      <c r="V46" s="1004"/>
      <c r="W46" s="1004"/>
      <c r="X46" s="1004"/>
      <c r="Y46" s="1004"/>
      <c r="Z46" s="1004"/>
      <c r="AA46" s="1004"/>
      <c r="AB46" s="1004"/>
    </row>
    <row r="47" spans="2:28" x14ac:dyDescent="0.3">
      <c r="B47" s="19"/>
      <c r="C47" s="86" t="s">
        <v>616</v>
      </c>
      <c r="D47" s="86"/>
      <c r="E47" s="86"/>
      <c r="F47" s="86"/>
      <c r="G47" s="86"/>
      <c r="H47" s="86"/>
      <c r="I47" s="87"/>
      <c r="J47" s="1007">
        <f>X37</f>
        <v>0</v>
      </c>
      <c r="K47" s="1008"/>
      <c r="L47" s="180" t="str">
        <f>IF(OR(J47&gt;=10,J47="Sans objet"),"OK","KO")</f>
        <v>KO</v>
      </c>
      <c r="M47" s="119"/>
      <c r="N47" s="20"/>
      <c r="P47" s="1004"/>
      <c r="Q47" s="1004"/>
      <c r="R47" s="1004"/>
      <c r="S47" s="1004"/>
      <c r="T47" s="1004"/>
      <c r="U47" s="1004"/>
      <c r="V47" s="1004"/>
      <c r="W47" s="1004"/>
      <c r="X47" s="1004"/>
      <c r="Y47" s="1004"/>
      <c r="Z47" s="1004"/>
      <c r="AA47" s="1004"/>
      <c r="AB47" s="1004"/>
    </row>
    <row r="48" spans="2:28" ht="15" thickBot="1" x14ac:dyDescent="0.35">
      <c r="B48" s="22"/>
      <c r="C48" s="23"/>
      <c r="D48" s="23"/>
      <c r="E48" s="23"/>
      <c r="F48" s="23"/>
      <c r="G48" s="23"/>
      <c r="H48" s="23"/>
      <c r="I48" s="23"/>
      <c r="J48" s="23"/>
      <c r="K48" s="23"/>
      <c r="L48" s="23"/>
      <c r="M48" s="23"/>
      <c r="N48" s="24"/>
      <c r="P48" s="1004"/>
      <c r="Q48" s="1004"/>
      <c r="R48" s="1004"/>
      <c r="S48" s="1004"/>
      <c r="T48" s="1004"/>
      <c r="U48" s="1004"/>
      <c r="V48" s="1004"/>
      <c r="W48" s="1004"/>
      <c r="X48" s="1004"/>
      <c r="Y48" s="1004"/>
      <c r="Z48" s="1004"/>
      <c r="AA48" s="1004"/>
      <c r="AB48" s="1004"/>
    </row>
    <row r="50" spans="2:28" ht="15" thickBot="1" x14ac:dyDescent="0.35"/>
    <row r="51" spans="2:28" x14ac:dyDescent="0.3">
      <c r="B51" s="8"/>
      <c r="C51" s="9"/>
      <c r="D51" s="9"/>
      <c r="E51" s="9"/>
      <c r="F51" s="9"/>
      <c r="G51" s="9"/>
      <c r="H51" s="9"/>
      <c r="I51" s="9"/>
      <c r="J51" s="9"/>
      <c r="K51" s="9"/>
      <c r="L51" s="9"/>
      <c r="M51" s="9"/>
      <c r="N51" s="9"/>
      <c r="O51" s="9"/>
      <c r="P51" s="9"/>
      <c r="Q51" s="9"/>
      <c r="R51" s="9"/>
      <c r="S51" s="9"/>
      <c r="T51" s="9"/>
      <c r="U51" s="9"/>
      <c r="V51" s="9"/>
      <c r="W51" s="9"/>
      <c r="X51" s="9"/>
      <c r="Y51" s="9"/>
      <c r="Z51" s="9"/>
      <c r="AA51" s="9"/>
      <c r="AB51" s="10"/>
    </row>
    <row r="52" spans="2:28" x14ac:dyDescent="0.3">
      <c r="B52" s="11"/>
      <c r="AB52" s="12"/>
    </row>
    <row r="53" spans="2:28" x14ac:dyDescent="0.3">
      <c r="B53" s="11"/>
      <c r="AB53" s="12"/>
    </row>
    <row r="54" spans="2:28" x14ac:dyDescent="0.3">
      <c r="B54" s="11"/>
      <c r="AB54" s="12"/>
    </row>
    <row r="55" spans="2:28" x14ac:dyDescent="0.3">
      <c r="B55" s="11"/>
      <c r="C55" s="42" t="s">
        <v>2486</v>
      </c>
      <c r="D55" s="1002"/>
      <c r="E55" s="1003"/>
      <c r="AB55" s="12"/>
    </row>
    <row r="56" spans="2:28" x14ac:dyDescent="0.3">
      <c r="B56" s="11"/>
      <c r="AB56" s="12"/>
    </row>
    <row r="57" spans="2:28" x14ac:dyDescent="0.3">
      <c r="B57" s="11"/>
      <c r="C57" s="42" t="s">
        <v>2764</v>
      </c>
      <c r="F57" t="str">
        <f>IF(ISBLANK(Identification!F21),"",Identification!F21&amp; " ("&amp;Identification!F18&amp;")")</f>
        <v/>
      </c>
      <c r="P57" s="42" t="s">
        <v>2765</v>
      </c>
      <c r="S57" t="str">
        <f>IF(ISBLANK(Identification!F34),"",Identification!F34)</f>
        <v/>
      </c>
      <c r="AB57" s="12"/>
    </row>
    <row r="58" spans="2:28" x14ac:dyDescent="0.3">
      <c r="B58" s="11"/>
      <c r="C58" s="607"/>
      <c r="D58" s="608"/>
      <c r="E58" s="608"/>
      <c r="F58" s="608"/>
      <c r="G58" s="608"/>
      <c r="H58" s="608"/>
      <c r="I58" s="608"/>
      <c r="J58" s="608"/>
      <c r="K58" s="608"/>
      <c r="L58" s="608"/>
      <c r="M58" s="608"/>
      <c r="N58" s="609"/>
      <c r="P58" s="607"/>
      <c r="Q58" s="608"/>
      <c r="R58" s="608"/>
      <c r="S58" s="608"/>
      <c r="T58" s="608"/>
      <c r="U58" s="608"/>
      <c r="V58" s="608"/>
      <c r="W58" s="608"/>
      <c r="X58" s="608"/>
      <c r="Y58" s="608"/>
      <c r="Z58" s="608"/>
      <c r="AA58" s="609"/>
      <c r="AB58" s="12"/>
    </row>
    <row r="59" spans="2:28" x14ac:dyDescent="0.3">
      <c r="B59" s="11"/>
      <c r="C59" s="610"/>
      <c r="D59" s="611"/>
      <c r="E59" s="611"/>
      <c r="F59" s="611"/>
      <c r="G59" s="611"/>
      <c r="H59" s="611"/>
      <c r="I59" s="611"/>
      <c r="J59" s="611"/>
      <c r="K59" s="611"/>
      <c r="L59" s="611"/>
      <c r="M59" s="611"/>
      <c r="N59" s="612"/>
      <c r="P59" s="610"/>
      <c r="Q59" s="611"/>
      <c r="R59" s="611"/>
      <c r="S59" s="611"/>
      <c r="T59" s="611"/>
      <c r="U59" s="611"/>
      <c r="V59" s="611"/>
      <c r="W59" s="611"/>
      <c r="X59" s="611"/>
      <c r="Y59" s="611"/>
      <c r="Z59" s="611"/>
      <c r="AA59" s="612"/>
      <c r="AB59" s="12"/>
    </row>
    <row r="60" spans="2:28" x14ac:dyDescent="0.3">
      <c r="B60" s="11"/>
      <c r="C60" s="610"/>
      <c r="D60" s="611"/>
      <c r="E60" s="611"/>
      <c r="F60" s="611"/>
      <c r="G60" s="611"/>
      <c r="H60" s="611"/>
      <c r="I60" s="611"/>
      <c r="J60" s="611"/>
      <c r="K60" s="611"/>
      <c r="L60" s="611"/>
      <c r="M60" s="611"/>
      <c r="N60" s="612"/>
      <c r="P60" s="610"/>
      <c r="Q60" s="611"/>
      <c r="R60" s="611"/>
      <c r="S60" s="611"/>
      <c r="T60" s="611"/>
      <c r="U60" s="611"/>
      <c r="V60" s="611"/>
      <c r="W60" s="611"/>
      <c r="X60" s="611"/>
      <c r="Y60" s="611"/>
      <c r="Z60" s="611"/>
      <c r="AA60" s="612"/>
      <c r="AB60" s="12"/>
    </row>
    <row r="61" spans="2:28" x14ac:dyDescent="0.3">
      <c r="B61" s="11"/>
      <c r="C61" s="610"/>
      <c r="D61" s="611"/>
      <c r="E61" s="611"/>
      <c r="F61" s="611"/>
      <c r="G61" s="611"/>
      <c r="H61" s="611"/>
      <c r="I61" s="611"/>
      <c r="J61" s="611"/>
      <c r="K61" s="611"/>
      <c r="L61" s="611"/>
      <c r="M61" s="611"/>
      <c r="N61" s="612"/>
      <c r="P61" s="610"/>
      <c r="Q61" s="611"/>
      <c r="R61" s="611"/>
      <c r="S61" s="611"/>
      <c r="T61" s="611"/>
      <c r="U61" s="611"/>
      <c r="V61" s="611"/>
      <c r="W61" s="611"/>
      <c r="X61" s="611"/>
      <c r="Y61" s="611"/>
      <c r="Z61" s="611"/>
      <c r="AA61" s="612"/>
      <c r="AB61" s="12"/>
    </row>
    <row r="62" spans="2:28" x14ac:dyDescent="0.3">
      <c r="B62" s="11"/>
      <c r="C62" s="610"/>
      <c r="D62" s="611"/>
      <c r="E62" s="611"/>
      <c r="F62" s="611"/>
      <c r="G62" s="611"/>
      <c r="H62" s="611"/>
      <c r="I62" s="611"/>
      <c r="J62" s="611"/>
      <c r="K62" s="611"/>
      <c r="L62" s="611"/>
      <c r="M62" s="611"/>
      <c r="N62" s="612"/>
      <c r="P62" s="610"/>
      <c r="Q62" s="611"/>
      <c r="R62" s="611"/>
      <c r="S62" s="611"/>
      <c r="T62" s="611"/>
      <c r="U62" s="611"/>
      <c r="V62" s="611"/>
      <c r="W62" s="611"/>
      <c r="X62" s="611"/>
      <c r="Y62" s="611"/>
      <c r="Z62" s="611"/>
      <c r="AA62" s="612"/>
      <c r="AB62" s="12"/>
    </row>
    <row r="63" spans="2:28" x14ac:dyDescent="0.3">
      <c r="B63" s="11"/>
      <c r="C63" s="610"/>
      <c r="D63" s="611"/>
      <c r="E63" s="611"/>
      <c r="F63" s="611"/>
      <c r="G63" s="611"/>
      <c r="H63" s="611"/>
      <c r="I63" s="611"/>
      <c r="J63" s="611"/>
      <c r="K63" s="611"/>
      <c r="L63" s="611"/>
      <c r="M63" s="611"/>
      <c r="N63" s="612"/>
      <c r="P63" s="610"/>
      <c r="Q63" s="611"/>
      <c r="R63" s="611"/>
      <c r="S63" s="611"/>
      <c r="T63" s="611"/>
      <c r="U63" s="611"/>
      <c r="V63" s="611"/>
      <c r="W63" s="611"/>
      <c r="X63" s="611"/>
      <c r="Y63" s="611"/>
      <c r="Z63" s="611"/>
      <c r="AA63" s="612"/>
      <c r="AB63" s="12"/>
    </row>
    <row r="64" spans="2:28" x14ac:dyDescent="0.3">
      <c r="B64" s="11"/>
      <c r="C64" s="610"/>
      <c r="D64" s="611"/>
      <c r="E64" s="611"/>
      <c r="F64" s="611"/>
      <c r="G64" s="611"/>
      <c r="H64" s="611"/>
      <c r="I64" s="611"/>
      <c r="J64" s="611"/>
      <c r="K64" s="611"/>
      <c r="L64" s="611"/>
      <c r="M64" s="611"/>
      <c r="N64" s="612"/>
      <c r="P64" s="610"/>
      <c r="Q64" s="611"/>
      <c r="R64" s="611"/>
      <c r="S64" s="611"/>
      <c r="T64" s="611"/>
      <c r="U64" s="611"/>
      <c r="V64" s="611"/>
      <c r="W64" s="611"/>
      <c r="X64" s="611"/>
      <c r="Y64" s="611"/>
      <c r="Z64" s="611"/>
      <c r="AA64" s="612"/>
      <c r="AB64" s="12"/>
    </row>
    <row r="65" spans="2:28" x14ac:dyDescent="0.3">
      <c r="B65" s="11"/>
      <c r="C65" s="610"/>
      <c r="D65" s="611"/>
      <c r="E65" s="611"/>
      <c r="F65" s="611"/>
      <c r="G65" s="611"/>
      <c r="H65" s="611"/>
      <c r="I65" s="611"/>
      <c r="J65" s="611"/>
      <c r="K65" s="611"/>
      <c r="L65" s="611"/>
      <c r="M65" s="611"/>
      <c r="N65" s="612"/>
      <c r="P65" s="610"/>
      <c r="Q65" s="611"/>
      <c r="R65" s="611"/>
      <c r="S65" s="611"/>
      <c r="T65" s="611"/>
      <c r="U65" s="611"/>
      <c r="V65" s="611"/>
      <c r="W65" s="611"/>
      <c r="X65" s="611"/>
      <c r="Y65" s="611"/>
      <c r="Z65" s="611"/>
      <c r="AA65" s="612"/>
      <c r="AB65" s="12"/>
    </row>
    <row r="66" spans="2:28" x14ac:dyDescent="0.3">
      <c r="B66" s="11"/>
      <c r="C66" s="610"/>
      <c r="D66" s="611"/>
      <c r="E66" s="611"/>
      <c r="F66" s="611"/>
      <c r="G66" s="611"/>
      <c r="H66" s="611"/>
      <c r="I66" s="611"/>
      <c r="J66" s="611"/>
      <c r="K66" s="611"/>
      <c r="L66" s="611"/>
      <c r="M66" s="611"/>
      <c r="N66" s="612"/>
      <c r="P66" s="610"/>
      <c r="Q66" s="611"/>
      <c r="R66" s="611"/>
      <c r="S66" s="611"/>
      <c r="T66" s="611"/>
      <c r="U66" s="611"/>
      <c r="V66" s="611"/>
      <c r="W66" s="611"/>
      <c r="X66" s="611"/>
      <c r="Y66" s="611"/>
      <c r="Z66" s="611"/>
      <c r="AA66" s="612"/>
      <c r="AB66" s="12"/>
    </row>
    <row r="67" spans="2:28" x14ac:dyDescent="0.3">
      <c r="B67" s="11"/>
      <c r="C67" s="613"/>
      <c r="D67" s="614"/>
      <c r="E67" s="614"/>
      <c r="F67" s="614"/>
      <c r="G67" s="614"/>
      <c r="H67" s="614"/>
      <c r="I67" s="614"/>
      <c r="J67" s="614"/>
      <c r="K67" s="614"/>
      <c r="L67" s="614"/>
      <c r="M67" s="614"/>
      <c r="N67" s="615"/>
      <c r="P67" s="613"/>
      <c r="Q67" s="614"/>
      <c r="R67" s="614"/>
      <c r="S67" s="614"/>
      <c r="T67" s="614"/>
      <c r="U67" s="614"/>
      <c r="V67" s="614"/>
      <c r="W67" s="614"/>
      <c r="X67" s="614"/>
      <c r="Y67" s="614"/>
      <c r="Z67" s="614"/>
      <c r="AA67" s="615"/>
      <c r="AB67" s="12"/>
    </row>
    <row r="68" spans="2:28" x14ac:dyDescent="0.3">
      <c r="B68" s="11"/>
      <c r="AB68" s="12"/>
    </row>
    <row r="69" spans="2:28" x14ac:dyDescent="0.3">
      <c r="B69" s="11"/>
      <c r="C69" s="42" t="s">
        <v>2767</v>
      </c>
      <c r="F69" t="str">
        <f>IF(ISBLANK(Identification!F21),"",Identification!F21&amp; " ("&amp;Identification!F18&amp;")")</f>
        <v/>
      </c>
      <c r="P69" s="42" t="s">
        <v>2768</v>
      </c>
      <c r="S69" t="str">
        <f>IF(ISBLANK(Identification!F34),"",Identification!F34)</f>
        <v/>
      </c>
      <c r="AB69" s="12"/>
    </row>
    <row r="70" spans="2:28" x14ac:dyDescent="0.3">
      <c r="B70" s="11"/>
      <c r="C70" s="364"/>
      <c r="D70" s="365"/>
      <c r="E70" s="365"/>
      <c r="F70" s="365"/>
      <c r="G70" s="365"/>
      <c r="H70" s="366"/>
      <c r="I70" s="343"/>
      <c r="P70" s="364"/>
      <c r="Q70" s="365"/>
      <c r="R70" s="365"/>
      <c r="S70" s="365"/>
      <c r="T70" s="365"/>
      <c r="U70" s="366"/>
      <c r="V70" s="343"/>
      <c r="AB70" s="12"/>
    </row>
    <row r="71" spans="2:28" x14ac:dyDescent="0.3">
      <c r="B71" s="11"/>
      <c r="C71" s="367"/>
      <c r="D71" s="281"/>
      <c r="E71" s="281"/>
      <c r="F71" s="281"/>
      <c r="G71" s="281"/>
      <c r="H71" s="368"/>
      <c r="I71" s="343"/>
      <c r="P71" s="367"/>
      <c r="Q71" s="281"/>
      <c r="R71" s="281"/>
      <c r="S71" s="281"/>
      <c r="T71" s="281"/>
      <c r="U71" s="368"/>
      <c r="V71" s="343"/>
      <c r="AB71" s="12"/>
    </row>
    <row r="72" spans="2:28" x14ac:dyDescent="0.3">
      <c r="B72" s="11"/>
      <c r="C72" s="367"/>
      <c r="D72" s="281"/>
      <c r="E72" s="281"/>
      <c r="F72" s="281"/>
      <c r="G72" s="281"/>
      <c r="H72" s="368"/>
      <c r="I72" s="343"/>
      <c r="P72" s="367"/>
      <c r="Q72" s="281"/>
      <c r="R72" s="281"/>
      <c r="S72" s="281"/>
      <c r="T72" s="281"/>
      <c r="U72" s="368"/>
      <c r="V72" s="343"/>
      <c r="AB72" s="12"/>
    </row>
    <row r="73" spans="2:28" x14ac:dyDescent="0.3">
      <c r="B73" s="11"/>
      <c r="C73" s="367"/>
      <c r="D73" s="369"/>
      <c r="E73" s="369"/>
      <c r="F73" s="369"/>
      <c r="G73" s="369"/>
      <c r="H73" s="368"/>
      <c r="I73" s="343"/>
      <c r="P73" s="367"/>
      <c r="Q73" s="369"/>
      <c r="R73" s="369"/>
      <c r="S73" s="369"/>
      <c r="T73" s="369"/>
      <c r="U73" s="368"/>
      <c r="V73" s="343"/>
      <c r="AB73" s="12"/>
    </row>
    <row r="74" spans="2:28" x14ac:dyDescent="0.3">
      <c r="B74" s="11"/>
      <c r="C74" s="370"/>
      <c r="D74" s="371"/>
      <c r="E74" s="371"/>
      <c r="F74" s="371"/>
      <c r="G74" s="371"/>
      <c r="H74" s="372"/>
      <c r="I74" s="343"/>
      <c r="P74" s="370"/>
      <c r="Q74" s="371"/>
      <c r="R74" s="371"/>
      <c r="S74" s="371"/>
      <c r="T74" s="371"/>
      <c r="U74" s="372"/>
      <c r="V74" s="343"/>
      <c r="AB74" s="12"/>
    </row>
    <row r="75" spans="2:28" x14ac:dyDescent="0.3">
      <c r="B75" s="11"/>
      <c r="AB75" s="12"/>
    </row>
    <row r="76" spans="2:28" ht="15" thickBot="1" x14ac:dyDescent="0.35">
      <c r="B76" s="13"/>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5"/>
    </row>
    <row r="79" spans="2:28" ht="15" thickBot="1" x14ac:dyDescent="0.35"/>
    <row r="80" spans="2:28" x14ac:dyDescent="0.3">
      <c r="B80" s="8"/>
      <c r="C80" s="9"/>
      <c r="D80" s="9"/>
      <c r="E80" s="9"/>
      <c r="F80" s="9"/>
      <c r="G80" s="9"/>
      <c r="H80" s="9"/>
      <c r="I80" s="9"/>
      <c r="J80" s="9"/>
      <c r="K80" s="9"/>
      <c r="L80" s="9"/>
      <c r="M80" s="9"/>
      <c r="N80" s="10"/>
    </row>
    <row r="81" spans="2:28" x14ac:dyDescent="0.3">
      <c r="B81" s="11"/>
      <c r="L81" s="179"/>
      <c r="N81" s="12"/>
      <c r="P81" s="1009" t="str">
        <f>IF(TYPE_CERTIF="Collectif","Informations relatives au cadre collectif :"&amp;"
- La synthèse du collectif doit être déposée dans Certibase avant les audits externes (échantillonnage).
- La décision ne doit pas être renseignée.","")</f>
        <v/>
      </c>
      <c r="Q81" s="1010"/>
      <c r="R81" s="1010"/>
      <c r="S81" s="1010"/>
      <c r="T81" s="1010"/>
      <c r="U81" s="1010"/>
      <c r="V81" s="1010"/>
      <c r="W81" s="1010"/>
      <c r="X81" s="1010"/>
      <c r="Y81" s="1010"/>
      <c r="Z81" s="1010"/>
      <c r="AA81" s="1010"/>
      <c r="AB81" s="1010"/>
    </row>
    <row r="82" spans="2:28" x14ac:dyDescent="0.3">
      <c r="B82" s="11"/>
      <c r="C82" s="42"/>
      <c r="D82" s="42"/>
      <c r="E82" s="42"/>
      <c r="F82" s="42"/>
      <c r="G82" s="42"/>
      <c r="H82" s="42"/>
      <c r="I82" s="42"/>
      <c r="J82" s="1001"/>
      <c r="K82" s="1001"/>
      <c r="L82" s="180"/>
      <c r="M82" s="119"/>
      <c r="N82" s="12"/>
      <c r="P82" s="1010"/>
      <c r="Q82" s="1010"/>
      <c r="R82" s="1010"/>
      <c r="S82" s="1010"/>
      <c r="T82" s="1010"/>
      <c r="U82" s="1010"/>
      <c r="V82" s="1010"/>
      <c r="W82" s="1010"/>
      <c r="X82" s="1010"/>
      <c r="Y82" s="1010"/>
      <c r="Z82" s="1010"/>
      <c r="AA82" s="1010"/>
      <c r="AB82" s="1010"/>
    </row>
    <row r="83" spans="2:28" x14ac:dyDescent="0.3">
      <c r="B83" s="11"/>
      <c r="C83" s="42" t="s">
        <v>2486</v>
      </c>
      <c r="D83" s="1002"/>
      <c r="E83" s="1003"/>
      <c r="F83" s="535" t="str">
        <f>IF(AND(ISBLANK(DATE_DECISION),TYPE_CERTIF&lt;&gt;"Collectif"),"   A saisir","")</f>
        <v xml:space="preserve">   A saisir</v>
      </c>
      <c r="G83" s="42"/>
      <c r="H83" s="42"/>
      <c r="I83" s="42" t="s">
        <v>2837</v>
      </c>
      <c r="J83" s="1005"/>
      <c r="K83" s="1005"/>
      <c r="L83" s="1005"/>
      <c r="M83" s="535" t="str">
        <f>IF(AND(ISBLANK(DECISION_AUDIT),TYPE_CERTIF&lt;&gt;"Collectif",RESULTAT_AUDIT&lt;&gt;"Résultats non conformes au référentiel"),"   A saisir","")</f>
        <v/>
      </c>
      <c r="N83" s="12"/>
      <c r="P83" s="1010"/>
      <c r="Q83" s="1010"/>
      <c r="R83" s="1010"/>
      <c r="S83" s="1010"/>
      <c r="T83" s="1010"/>
      <c r="U83" s="1010"/>
      <c r="V83" s="1010"/>
      <c r="W83" s="1010"/>
      <c r="X83" s="1010"/>
      <c r="Y83" s="1010"/>
      <c r="Z83" s="1010"/>
      <c r="AA83" s="1010"/>
      <c r="AB83" s="1010"/>
    </row>
    <row r="84" spans="2:28" x14ac:dyDescent="0.3">
      <c r="B84" s="11"/>
      <c r="C84" s="42"/>
      <c r="D84" s="464"/>
      <c r="E84" s="464"/>
      <c r="F84" s="42"/>
      <c r="G84" s="42"/>
      <c r="H84" s="42"/>
      <c r="I84" s="1011" t="str">
        <f>IF(AND(cTypeAudit="Initial",DECISION_AUDIT="Refus"),"Le dépôt de la grille dans Certibase n'est pas autorisé pour un audit Initial avec une décision Refus","")</f>
        <v/>
      </c>
      <c r="J84" s="1011"/>
      <c r="K84" s="1011"/>
      <c r="L84" s="1011"/>
      <c r="M84" s="1011"/>
      <c r="N84" s="1012"/>
      <c r="P84" s="1010"/>
      <c r="Q84" s="1010"/>
      <c r="R84" s="1010"/>
      <c r="S84" s="1010"/>
      <c r="T84" s="1010"/>
      <c r="U84" s="1010"/>
      <c r="V84" s="1010"/>
      <c r="W84" s="1010"/>
      <c r="X84" s="1010"/>
      <c r="Y84" s="1010"/>
      <c r="Z84" s="1010"/>
      <c r="AA84" s="1010"/>
      <c r="AB84" s="1010"/>
    </row>
    <row r="85" spans="2:28" ht="15" thickBot="1" x14ac:dyDescent="0.35">
      <c r="B85" s="13"/>
      <c r="C85" s="463"/>
      <c r="D85" s="463"/>
      <c r="E85" s="463"/>
      <c r="F85" s="463"/>
      <c r="G85" s="463"/>
      <c r="H85" s="463"/>
      <c r="I85" s="1013"/>
      <c r="J85" s="1013"/>
      <c r="K85" s="1013"/>
      <c r="L85" s="1013"/>
      <c r="M85" s="1013"/>
      <c r="N85" s="1014"/>
    </row>
    <row r="86" spans="2:28" x14ac:dyDescent="0.3">
      <c r="C86" s="42"/>
      <c r="D86" s="42"/>
      <c r="E86" s="42"/>
      <c r="F86" s="42"/>
      <c r="G86" s="42"/>
      <c r="H86" s="42"/>
      <c r="I86" s="42"/>
      <c r="J86" s="1001"/>
      <c r="K86" s="1001"/>
      <c r="L86" s="180"/>
      <c r="M86" s="119"/>
    </row>
  </sheetData>
  <sheetProtection algorithmName="SHA-512" hashValue="tgaMxEs1x8U4AjTdf6McY08iAHrvYOyB/fnWhuVlqvewv14UksC9Xwc/Ebdbq8KYHg5Qcv+4n8K8WPjErKHmsw==" saltValue="SfgBwPaSpwcaFEACefUaQQ==" spinCount="100000" sheet="1" objects="1" scenarios="1"/>
  <mergeCells count="108">
    <mergeCell ref="Z31:AA31"/>
    <mergeCell ref="Z32:AA32"/>
    <mergeCell ref="Z33:AA33"/>
    <mergeCell ref="J36:K36"/>
    <mergeCell ref="L9:M9"/>
    <mergeCell ref="L10:M10"/>
    <mergeCell ref="L11:M11"/>
    <mergeCell ref="L14:M14"/>
    <mergeCell ref="L15:M15"/>
    <mergeCell ref="L16:M16"/>
    <mergeCell ref="L17:M17"/>
    <mergeCell ref="Z18:AA18"/>
    <mergeCell ref="Z16:AA16"/>
    <mergeCell ref="Z17:AA17"/>
    <mergeCell ref="L12:M12"/>
    <mergeCell ref="L13:M13"/>
    <mergeCell ref="X9:Y9"/>
    <mergeCell ref="Z26:AA26"/>
    <mergeCell ref="Z27:AA27"/>
    <mergeCell ref="Z28:AA28"/>
    <mergeCell ref="L20:M20"/>
    <mergeCell ref="J35:K35"/>
    <mergeCell ref="Z20:AA20"/>
    <mergeCell ref="Z34:AA34"/>
    <mergeCell ref="L30:M30"/>
    <mergeCell ref="L31:M31"/>
    <mergeCell ref="L32:M32"/>
    <mergeCell ref="X35:Y35"/>
    <mergeCell ref="X36:Y36"/>
    <mergeCell ref="L26:M26"/>
    <mergeCell ref="L27:M27"/>
    <mergeCell ref="L28:M28"/>
    <mergeCell ref="L35:M35"/>
    <mergeCell ref="L34:M34"/>
    <mergeCell ref="X26:Y26"/>
    <mergeCell ref="X27:Y27"/>
    <mergeCell ref="X28:Y28"/>
    <mergeCell ref="X29:Y29"/>
    <mergeCell ref="X30:Y30"/>
    <mergeCell ref="X31:Y31"/>
    <mergeCell ref="X32:Y32"/>
    <mergeCell ref="X33:Y33"/>
    <mergeCell ref="L33:M33"/>
    <mergeCell ref="Z29:AA29"/>
    <mergeCell ref="X34:Y34"/>
    <mergeCell ref="Z30:AA30"/>
    <mergeCell ref="L29:M29"/>
    <mergeCell ref="H20:I20"/>
    <mergeCell ref="J20:K20"/>
    <mergeCell ref="J9:K9"/>
    <mergeCell ref="J10:K10"/>
    <mergeCell ref="J11:K11"/>
    <mergeCell ref="J12:K12"/>
    <mergeCell ref="J13:K13"/>
    <mergeCell ref="J14:K14"/>
    <mergeCell ref="J15:K15"/>
    <mergeCell ref="J16:K16"/>
    <mergeCell ref="J17:K17"/>
    <mergeCell ref="J26:K26"/>
    <mergeCell ref="J27:K27"/>
    <mergeCell ref="J28:K28"/>
    <mergeCell ref="J29:K29"/>
    <mergeCell ref="J30:K30"/>
    <mergeCell ref="J31:K31"/>
    <mergeCell ref="J32:K32"/>
    <mergeCell ref="J33:K33"/>
    <mergeCell ref="J34:K34"/>
    <mergeCell ref="AA4:AB4"/>
    <mergeCell ref="X15:Y15"/>
    <mergeCell ref="X16:Y16"/>
    <mergeCell ref="X19:Y19"/>
    <mergeCell ref="V20:W20"/>
    <mergeCell ref="X20:Y20"/>
    <mergeCell ref="X17:Y17"/>
    <mergeCell ref="X18:Y18"/>
    <mergeCell ref="X10:Y10"/>
    <mergeCell ref="X11:Y11"/>
    <mergeCell ref="X12:Y12"/>
    <mergeCell ref="X13:Y13"/>
    <mergeCell ref="X14:Y14"/>
    <mergeCell ref="Z14:AA14"/>
    <mergeCell ref="Z15:AA15"/>
    <mergeCell ref="Z9:AA9"/>
    <mergeCell ref="Z10:AA10"/>
    <mergeCell ref="Z11:AA11"/>
    <mergeCell ref="Z12:AA12"/>
    <mergeCell ref="Z13:AA13"/>
    <mergeCell ref="Z19:AA19"/>
    <mergeCell ref="J82:K82"/>
    <mergeCell ref="J86:K86"/>
    <mergeCell ref="D83:E83"/>
    <mergeCell ref="Z37:AA37"/>
    <mergeCell ref="C58:N67"/>
    <mergeCell ref="P58:AA67"/>
    <mergeCell ref="D55:E55"/>
    <mergeCell ref="P42:AB48"/>
    <mergeCell ref="H37:I37"/>
    <mergeCell ref="J83:L83"/>
    <mergeCell ref="J37:K37"/>
    <mergeCell ref="J47:K47"/>
    <mergeCell ref="J46:K46"/>
    <mergeCell ref="J45:K45"/>
    <mergeCell ref="J44:K44"/>
    <mergeCell ref="V37:W37"/>
    <mergeCell ref="X37:Y37"/>
    <mergeCell ref="L37:M37"/>
    <mergeCell ref="P81:AB84"/>
    <mergeCell ref="I84:N85"/>
  </mergeCells>
  <conditionalFormatting sqref="L45">
    <cfRule type="cellIs" dxfId="8" priority="1" operator="equal">
      <formula>"AUDIT NON VALIDE"</formula>
    </cfRule>
  </conditionalFormatting>
  <conditionalFormatting sqref="P42">
    <cfRule type="expression" dxfId="7" priority="9">
      <formula>$P$42="Résultats non conformes au référentiel"</formula>
    </cfRule>
    <cfRule type="expression" dxfId="6" priority="10">
      <formula>$P$42="Résultats conformes au référentiel"</formula>
    </cfRule>
  </conditionalFormatting>
  <conditionalFormatting sqref="X10:Y10">
    <cfRule type="expression" dxfId="5" priority="8">
      <formula>$X$10="AUDIT NON VALIDE"</formula>
    </cfRule>
  </conditionalFormatting>
  <conditionalFormatting sqref="X20:AA20">
    <cfRule type="expression" dxfId="4" priority="3">
      <formula>$X$10="AUDIT NON VALIDE"</formula>
    </cfRule>
  </conditionalFormatting>
  <conditionalFormatting sqref="X37:AA37">
    <cfRule type="expression" dxfId="3" priority="2">
      <formula>$X$37="Sans Objet"</formula>
    </cfRule>
  </conditionalFormatting>
  <conditionalFormatting sqref="Z10:AA19">
    <cfRule type="expression" dxfId="2" priority="5">
      <formula>$X$10="AUDIT NON VALIDE"</formula>
    </cfRule>
  </conditionalFormatting>
  <dataValidations count="2">
    <dataValidation type="date" allowBlank="1" showInputMessage="1" showErrorMessage="1" sqref="D55:E55 D83:E84" xr:uid="{00000000-0002-0000-0900-000000000000}">
      <formula1>367</formula1>
      <formula2>401768</formula2>
    </dataValidation>
    <dataValidation type="list" showInputMessage="1" showErrorMessage="1" sqref="J83:L83" xr:uid="{D317B727-6D8D-4BA6-B6EB-BC9B2BAE970B}">
      <formula1>IF(OR(ISBLANK(cTypeAudit),TYPE_CERTIF="Collectif"),lstVide,IF(cTypeAudit="Initial",lstDecisionInitial,IF(cTypeAudit="Suivi",lstDecisionSuivi,IF(cTypeAudit="Renouvellement",lstDecisionRenouvellement,""))))</formula1>
    </dataValidation>
  </dataValidations>
  <pageMargins left="0.70866141732283472" right="0.70866141732283472" top="0.74803149606299213" bottom="0.74803149606299213" header="0.31496062992125984" footer="0.31496062992125984"/>
  <pageSetup paperSize="9" scale="45" orientation="landscape" r:id="rId1"/>
  <ignoredErrors>
    <ignoredError sqref="L45"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4" id="{EA9EEB23-15CC-43BA-960E-7C9101B1F1BC}">
            <xm:f>Irrigation!$K$10="Non"</xm:f>
            <x14:dxf>
              <numFmt numFmtId="171" formatCode=";;;"/>
              <fill>
                <patternFill patternType="lightUp"/>
              </fill>
            </x14:dxf>
          </x14:cfRule>
          <xm:sqref>Z27:AA34</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
    <tabColor theme="5"/>
  </sheetPr>
  <dimension ref="A1:AX113"/>
  <sheetViews>
    <sheetView topLeftCell="AO1" zoomScale="82" zoomScaleNormal="100" workbookViewId="0">
      <selection activeCell="AV26" sqref="AV26"/>
    </sheetView>
  </sheetViews>
  <sheetFormatPr baseColWidth="10" defaultColWidth="9.109375" defaultRowHeight="14.4" x14ac:dyDescent="0.3"/>
  <cols>
    <col min="2" max="2" width="45.88671875" bestFit="1" customWidth="1"/>
    <col min="3" max="3" width="9.44140625" customWidth="1"/>
    <col min="5" max="5" width="26.44140625" bestFit="1" customWidth="1"/>
    <col min="7" max="7" width="56.5546875" bestFit="1" customWidth="1"/>
    <col min="8" max="8" width="14" customWidth="1"/>
    <col min="10" max="10" width="15.5546875" bestFit="1" customWidth="1"/>
    <col min="11" max="11" width="15.5546875" customWidth="1"/>
    <col min="13" max="13" width="31.44140625" bestFit="1" customWidth="1"/>
    <col min="15" max="15" width="44.109375" bestFit="1" customWidth="1"/>
    <col min="16" max="16" width="44.109375" customWidth="1"/>
    <col min="18" max="18" width="30.44140625" bestFit="1" customWidth="1"/>
    <col min="19" max="19" width="13" bestFit="1" customWidth="1"/>
    <col min="21" max="21" width="20" style="36" bestFit="1" customWidth="1"/>
    <col min="22" max="22" width="20" style="36" customWidth="1"/>
    <col min="24" max="24" width="27.44140625" bestFit="1" customWidth="1"/>
    <col min="26" max="26" width="10.5546875" bestFit="1" customWidth="1"/>
    <col min="27" max="27" width="70.5546875" bestFit="1" customWidth="1"/>
    <col min="29" max="29" width="26.5546875" style="36" bestFit="1" customWidth="1"/>
    <col min="31" max="31" width="20" bestFit="1" customWidth="1"/>
    <col min="33" max="33" width="18.44140625" bestFit="1" customWidth="1"/>
    <col min="35" max="35" width="14.5546875" bestFit="1" customWidth="1"/>
    <col min="37" max="37" width="13.5546875" bestFit="1" customWidth="1"/>
    <col min="39" max="39" width="23.88671875" bestFit="1" customWidth="1"/>
    <col min="41" max="41" width="108.44140625" bestFit="1" customWidth="1"/>
    <col min="42" max="42" width="16.109375" bestFit="1" customWidth="1"/>
    <col min="44" max="44" width="24.5546875" bestFit="1" customWidth="1"/>
    <col min="46" max="46" width="28.5546875" bestFit="1" customWidth="1"/>
    <col min="48" max="48" width="24.5546875" customWidth="1"/>
    <col min="50" max="50" width="55.5546875" bestFit="1" customWidth="1"/>
  </cols>
  <sheetData>
    <row r="1" spans="1:50" x14ac:dyDescent="0.3">
      <c r="A1" s="2" t="s">
        <v>0</v>
      </c>
    </row>
    <row r="3" spans="1:50" x14ac:dyDescent="0.3">
      <c r="B3" s="1" t="s">
        <v>2502</v>
      </c>
      <c r="C3" s="519" t="s">
        <v>2461</v>
      </c>
      <c r="E3" s="1" t="s">
        <v>9</v>
      </c>
      <c r="G3" s="1" t="s">
        <v>850</v>
      </c>
      <c r="H3" s="519" t="s">
        <v>2461</v>
      </c>
      <c r="J3" s="1" t="s">
        <v>32</v>
      </c>
      <c r="K3" s="519" t="s">
        <v>2461</v>
      </c>
      <c r="M3" s="1" t="s">
        <v>3075</v>
      </c>
      <c r="O3" s="1" t="s">
        <v>2735</v>
      </c>
      <c r="P3" s="1" t="s">
        <v>2848</v>
      </c>
      <c r="R3" s="1" t="s">
        <v>851</v>
      </c>
      <c r="S3" s="1" t="s">
        <v>2848</v>
      </c>
      <c r="U3" s="59" t="s">
        <v>126</v>
      </c>
      <c r="V3" s="59" t="s">
        <v>736</v>
      </c>
      <c r="X3" s="59" t="s">
        <v>2504</v>
      </c>
      <c r="Z3" s="142" t="s">
        <v>434</v>
      </c>
      <c r="AA3" s="142" t="s">
        <v>435</v>
      </c>
      <c r="AC3" s="142" t="s">
        <v>551</v>
      </c>
      <c r="AE3" s="142" t="s">
        <v>2503</v>
      </c>
      <c r="AG3" s="142" t="s">
        <v>2465</v>
      </c>
      <c r="AI3" s="142" t="s">
        <v>2839</v>
      </c>
      <c r="AK3" s="142" t="s">
        <v>2840</v>
      </c>
      <c r="AM3" s="142" t="s">
        <v>2841</v>
      </c>
      <c r="AO3" s="142" t="s">
        <v>2964</v>
      </c>
      <c r="AP3" s="142" t="s">
        <v>2848</v>
      </c>
      <c r="AR3" s="142" t="s">
        <v>3074</v>
      </c>
      <c r="AT3" s="495" t="s">
        <v>3096</v>
      </c>
      <c r="AV3" s="142" t="s">
        <v>3194</v>
      </c>
      <c r="AX3" s="575" t="s">
        <v>3358</v>
      </c>
    </row>
    <row r="4" spans="1:50" x14ac:dyDescent="0.3">
      <c r="B4" s="134" t="s">
        <v>3163</v>
      </c>
      <c r="C4" s="299" t="s">
        <v>3165</v>
      </c>
      <c r="E4" s="299" t="s">
        <v>865</v>
      </c>
      <c r="G4" s="520" t="s">
        <v>35</v>
      </c>
      <c r="H4" s="299" t="s">
        <v>3188</v>
      </c>
      <c r="J4" s="520" t="s">
        <v>36</v>
      </c>
      <c r="K4" s="299" t="s">
        <v>3172</v>
      </c>
      <c r="M4" s="299" t="s">
        <v>63</v>
      </c>
      <c r="O4" s="299" t="s">
        <v>2827</v>
      </c>
      <c r="P4" s="299" t="s">
        <v>2871</v>
      </c>
      <c r="R4" s="299" t="s">
        <v>2864</v>
      </c>
      <c r="S4" s="299" t="s">
        <v>2864</v>
      </c>
      <c r="U4" s="305" t="s">
        <v>127</v>
      </c>
      <c r="V4" s="305" t="s">
        <v>127</v>
      </c>
      <c r="X4" s="135" t="s">
        <v>324</v>
      </c>
      <c r="Z4" s="134">
        <v>4500</v>
      </c>
      <c r="AA4" s="134" t="s">
        <v>423</v>
      </c>
      <c r="AC4" s="135" t="s">
        <v>452</v>
      </c>
      <c r="AE4" s="134" t="s">
        <v>617</v>
      </c>
      <c r="AG4" s="134" t="s">
        <v>2466</v>
      </c>
      <c r="AI4" s="134" t="s">
        <v>2842</v>
      </c>
      <c r="AK4" s="134" t="s">
        <v>2844</v>
      </c>
      <c r="AM4" s="134" t="s">
        <v>2842</v>
      </c>
      <c r="AO4" s="299" t="s">
        <v>3070</v>
      </c>
      <c r="AP4" s="299" t="s">
        <v>3032</v>
      </c>
      <c r="AR4" s="134" t="s">
        <v>2961</v>
      </c>
      <c r="AT4" s="299" t="s">
        <v>839</v>
      </c>
      <c r="AV4" s="134" t="s">
        <v>3196</v>
      </c>
      <c r="AX4" s="299" t="s">
        <v>10</v>
      </c>
    </row>
    <row r="5" spans="1:50" x14ac:dyDescent="0.3">
      <c r="B5" s="134" t="s">
        <v>2</v>
      </c>
      <c r="C5" s="299" t="s">
        <v>2</v>
      </c>
      <c r="E5" s="299" t="s">
        <v>866</v>
      </c>
      <c r="G5" s="520" t="s">
        <v>556</v>
      </c>
      <c r="H5" s="299" t="s">
        <v>3183</v>
      </c>
      <c r="J5" s="520" t="s">
        <v>37</v>
      </c>
      <c r="K5" s="299" t="s">
        <v>3173</v>
      </c>
      <c r="M5" s="299" t="s">
        <v>64</v>
      </c>
      <c r="O5" s="299" t="s">
        <v>2847</v>
      </c>
      <c r="P5" s="299" t="s">
        <v>2872</v>
      </c>
      <c r="R5" s="299" t="s">
        <v>2849</v>
      </c>
      <c r="S5" s="299" t="s">
        <v>2865</v>
      </c>
      <c r="U5" s="305" t="s">
        <v>128</v>
      </c>
      <c r="V5" s="305" t="s">
        <v>170</v>
      </c>
      <c r="X5" s="135" t="s">
        <v>325</v>
      </c>
      <c r="Z5" s="134">
        <v>4600</v>
      </c>
      <c r="AA5" s="134" t="s">
        <v>424</v>
      </c>
      <c r="AC5" s="135" t="s">
        <v>453</v>
      </c>
      <c r="AE5" s="134" t="s">
        <v>622</v>
      </c>
      <c r="AG5" s="134" t="s">
        <v>2467</v>
      </c>
      <c r="AI5" s="134" t="s">
        <v>2843</v>
      </c>
      <c r="AK5" s="134" t="s">
        <v>2845</v>
      </c>
      <c r="AM5" s="134" t="s">
        <v>2843</v>
      </c>
      <c r="AO5" s="299" t="s">
        <v>3011</v>
      </c>
      <c r="AP5" s="299" t="s">
        <v>3011</v>
      </c>
      <c r="AR5" s="134" t="s">
        <v>3073</v>
      </c>
      <c r="AT5" s="299" t="s">
        <v>840</v>
      </c>
      <c r="AV5" s="134" t="s">
        <v>3197</v>
      </c>
      <c r="AX5" s="299" t="s">
        <v>654</v>
      </c>
    </row>
    <row r="6" spans="1:50" x14ac:dyDescent="0.3">
      <c r="B6" s="134" t="s">
        <v>1</v>
      </c>
      <c r="C6" s="299" t="s">
        <v>1</v>
      </c>
      <c r="E6" s="299" t="s">
        <v>15</v>
      </c>
      <c r="G6" s="520" t="s">
        <v>2949</v>
      </c>
      <c r="H6" s="299" t="s">
        <v>3189</v>
      </c>
      <c r="J6" s="520" t="s">
        <v>38</v>
      </c>
      <c r="K6" s="299" t="s">
        <v>3174</v>
      </c>
      <c r="M6" s="299" t="s">
        <v>65</v>
      </c>
      <c r="R6" s="299" t="s">
        <v>2850</v>
      </c>
      <c r="S6" s="299" t="s">
        <v>2866</v>
      </c>
      <c r="U6" s="305" t="s">
        <v>129</v>
      </c>
      <c r="V6" s="305" t="s">
        <v>170</v>
      </c>
      <c r="Z6" s="134">
        <v>4700</v>
      </c>
      <c r="AA6" s="134" t="s">
        <v>425</v>
      </c>
      <c r="AC6" s="135" t="s">
        <v>454</v>
      </c>
      <c r="AE6" s="134" t="s">
        <v>618</v>
      </c>
      <c r="AG6" s="134" t="s">
        <v>2468</v>
      </c>
      <c r="AK6" s="134" t="s">
        <v>2846</v>
      </c>
      <c r="AO6" s="299" t="s">
        <v>2996</v>
      </c>
      <c r="AP6" s="299" t="s">
        <v>3051</v>
      </c>
      <c r="AX6" s="299" t="s">
        <v>640</v>
      </c>
    </row>
    <row r="7" spans="1:50" x14ac:dyDescent="0.3">
      <c r="B7" s="134" t="s">
        <v>3</v>
      </c>
      <c r="C7" s="299" t="s">
        <v>3166</v>
      </c>
      <c r="E7" s="299" t="s">
        <v>867</v>
      </c>
      <c r="G7" s="520" t="s">
        <v>328</v>
      </c>
      <c r="H7" s="299" t="s">
        <v>3184</v>
      </c>
      <c r="J7" s="520" t="s">
        <v>39</v>
      </c>
      <c r="K7" s="299" t="s">
        <v>3175</v>
      </c>
      <c r="M7" s="299" t="s">
        <v>2903</v>
      </c>
      <c r="R7" s="299" t="s">
        <v>2851</v>
      </c>
      <c r="S7" s="299" t="s">
        <v>2867</v>
      </c>
      <c r="U7" s="305" t="s">
        <v>169</v>
      </c>
      <c r="V7" s="305" t="s">
        <v>170</v>
      </c>
      <c r="Z7" s="134">
        <v>4810</v>
      </c>
      <c r="AA7" s="134" t="s">
        <v>426</v>
      </c>
      <c r="AC7" s="135" t="s">
        <v>455</v>
      </c>
      <c r="AE7" s="134" t="s">
        <v>629</v>
      </c>
      <c r="AG7" s="134" t="s">
        <v>2469</v>
      </c>
      <c r="AO7" s="299" t="s">
        <v>2978</v>
      </c>
      <c r="AP7" s="299" t="s">
        <v>3031</v>
      </c>
      <c r="AT7" s="495" t="s">
        <v>3097</v>
      </c>
      <c r="AX7" s="299" t="s">
        <v>645</v>
      </c>
    </row>
    <row r="8" spans="1:50" x14ac:dyDescent="0.3">
      <c r="B8" s="134" t="s">
        <v>4</v>
      </c>
      <c r="C8" s="299" t="s">
        <v>3167</v>
      </c>
      <c r="E8" s="299" t="s">
        <v>18</v>
      </c>
      <c r="G8" s="520" t="s">
        <v>33</v>
      </c>
      <c r="H8" s="299" t="s">
        <v>3185</v>
      </c>
      <c r="J8" s="520" t="s">
        <v>40</v>
      </c>
      <c r="K8" s="299" t="s">
        <v>3176</v>
      </c>
      <c r="R8" s="299" t="s">
        <v>2852</v>
      </c>
      <c r="S8" s="299" t="s">
        <v>2852</v>
      </c>
      <c r="U8" s="305" t="s">
        <v>184</v>
      </c>
      <c r="V8" s="305" t="s">
        <v>170</v>
      </c>
      <c r="Z8" s="134">
        <v>4820</v>
      </c>
      <c r="AA8" s="134" t="s">
        <v>427</v>
      </c>
      <c r="AC8" s="135" t="s">
        <v>456</v>
      </c>
      <c r="AE8" s="134" t="s">
        <v>625</v>
      </c>
      <c r="AO8" s="299" t="s">
        <v>3224</v>
      </c>
      <c r="AP8" s="299" t="s">
        <v>3225</v>
      </c>
      <c r="AT8" s="299" t="s">
        <v>808</v>
      </c>
      <c r="AX8" s="299" t="s">
        <v>651</v>
      </c>
    </row>
    <row r="9" spans="1:50" x14ac:dyDescent="0.3">
      <c r="B9" s="134" t="s">
        <v>5</v>
      </c>
      <c r="C9" s="299" t="s">
        <v>3168</v>
      </c>
      <c r="E9" s="299" t="s">
        <v>868</v>
      </c>
      <c r="G9" s="520" t="s">
        <v>2320</v>
      </c>
      <c r="H9" s="299" t="s">
        <v>3190</v>
      </c>
      <c r="J9" s="520" t="s">
        <v>41</v>
      </c>
      <c r="K9" s="299" t="s">
        <v>3177</v>
      </c>
      <c r="R9" s="299" t="s">
        <v>2828</v>
      </c>
      <c r="S9" s="299" t="s">
        <v>2828</v>
      </c>
      <c r="U9" s="305" t="s">
        <v>130</v>
      </c>
      <c r="V9" s="305" t="s">
        <v>170</v>
      </c>
      <c r="Z9" s="134">
        <v>4830</v>
      </c>
      <c r="AA9" s="134" t="s">
        <v>428</v>
      </c>
      <c r="AC9" s="135" t="s">
        <v>457</v>
      </c>
      <c r="AE9" s="134" t="s">
        <v>619</v>
      </c>
      <c r="AO9" s="503" t="s">
        <v>2999</v>
      </c>
      <c r="AP9" s="503" t="s">
        <v>3054</v>
      </c>
      <c r="AT9" s="299" t="s">
        <v>807</v>
      </c>
      <c r="AX9" s="299" t="s">
        <v>644</v>
      </c>
    </row>
    <row r="10" spans="1:50" x14ac:dyDescent="0.3">
      <c r="B10" s="134" t="s">
        <v>8</v>
      </c>
      <c r="C10" s="299" t="s">
        <v>3169</v>
      </c>
      <c r="E10" s="299" t="s">
        <v>869</v>
      </c>
      <c r="G10" s="520" t="s">
        <v>557</v>
      </c>
      <c r="H10" s="299" t="s">
        <v>3186</v>
      </c>
      <c r="J10" s="520" t="s">
        <v>42</v>
      </c>
      <c r="K10" s="299" t="s">
        <v>3178</v>
      </c>
      <c r="M10" s="1" t="s">
        <v>3076</v>
      </c>
      <c r="R10" s="299" t="s">
        <v>2853</v>
      </c>
      <c r="S10" s="299" t="s">
        <v>2853</v>
      </c>
      <c r="U10" s="305" t="s">
        <v>171</v>
      </c>
      <c r="V10" s="305" t="s">
        <v>171</v>
      </c>
      <c r="Z10" s="134">
        <v>4840</v>
      </c>
      <c r="AA10" s="134" t="s">
        <v>429</v>
      </c>
      <c r="AC10" s="135" t="s">
        <v>458</v>
      </c>
      <c r="AE10" s="134" t="s">
        <v>621</v>
      </c>
      <c r="AO10" s="299" t="s">
        <v>3010</v>
      </c>
      <c r="AP10" s="299" t="s">
        <v>3065</v>
      </c>
      <c r="AX10" s="299" t="s">
        <v>653</v>
      </c>
    </row>
    <row r="11" spans="1:50" x14ac:dyDescent="0.3">
      <c r="B11" s="134" t="s">
        <v>6</v>
      </c>
      <c r="C11" s="299" t="s">
        <v>3170</v>
      </c>
      <c r="E11" s="299" t="s">
        <v>292</v>
      </c>
      <c r="G11" s="520" t="s">
        <v>2950</v>
      </c>
      <c r="H11" s="299" t="s">
        <v>3191</v>
      </c>
      <c r="J11" s="520" t="s">
        <v>43</v>
      </c>
      <c r="K11" s="299" t="s">
        <v>3179</v>
      </c>
      <c r="M11" s="299" t="s">
        <v>63</v>
      </c>
      <c r="R11" s="299" t="s">
        <v>2854</v>
      </c>
      <c r="S11" s="299" t="s">
        <v>2854</v>
      </c>
      <c r="U11" s="305" t="s">
        <v>172</v>
      </c>
      <c r="V11" s="305" t="s">
        <v>170</v>
      </c>
      <c r="Z11" s="134">
        <v>8320</v>
      </c>
      <c r="AA11" s="134" t="s">
        <v>430</v>
      </c>
      <c r="AC11" s="135" t="s">
        <v>459</v>
      </c>
      <c r="AE11" s="134" t="s">
        <v>624</v>
      </c>
      <c r="AO11" s="299" t="s">
        <v>2987</v>
      </c>
      <c r="AP11" s="299" t="s">
        <v>3042</v>
      </c>
      <c r="AX11" s="299" t="s">
        <v>649</v>
      </c>
    </row>
    <row r="12" spans="1:50" x14ac:dyDescent="0.3">
      <c r="B12" s="134" t="s">
        <v>7</v>
      </c>
      <c r="C12" s="299" t="s">
        <v>3171</v>
      </c>
      <c r="E12" s="299" t="s">
        <v>870</v>
      </c>
      <c r="G12" s="520" t="s">
        <v>34</v>
      </c>
      <c r="H12" s="299" t="s">
        <v>3187</v>
      </c>
      <c r="J12" s="520" t="s">
        <v>44</v>
      </c>
      <c r="K12" s="299" t="s">
        <v>3180</v>
      </c>
      <c r="M12" s="299" t="s">
        <v>64</v>
      </c>
      <c r="R12" s="299" t="s">
        <v>2855</v>
      </c>
      <c r="S12" s="299" t="s">
        <v>2868</v>
      </c>
      <c r="U12" s="305" t="s">
        <v>173</v>
      </c>
      <c r="V12" s="305" t="s">
        <v>170</v>
      </c>
      <c r="Z12" s="134">
        <v>8330</v>
      </c>
      <c r="AA12" s="134" t="s">
        <v>431</v>
      </c>
      <c r="AC12" s="135" t="s">
        <v>460</v>
      </c>
      <c r="AE12" s="134" t="s">
        <v>627</v>
      </c>
      <c r="AO12" s="299" t="s">
        <v>3000</v>
      </c>
      <c r="AP12" s="299" t="s">
        <v>3055</v>
      </c>
      <c r="AX12" s="299" t="s">
        <v>51</v>
      </c>
    </row>
    <row r="13" spans="1:50" x14ac:dyDescent="0.3">
      <c r="E13" s="299" t="s">
        <v>871</v>
      </c>
      <c r="J13" s="520" t="s">
        <v>45</v>
      </c>
      <c r="K13" s="299" t="s">
        <v>3181</v>
      </c>
      <c r="M13" s="299" t="s">
        <v>65</v>
      </c>
      <c r="R13" s="299" t="s">
        <v>2856</v>
      </c>
      <c r="S13" s="299" t="s">
        <v>2856</v>
      </c>
      <c r="U13" s="305" t="s">
        <v>131</v>
      </c>
      <c r="V13" s="305" t="s">
        <v>170</v>
      </c>
      <c r="Z13" s="134">
        <v>8340</v>
      </c>
      <c r="AA13" s="134" t="s">
        <v>432</v>
      </c>
      <c r="AC13" s="135" t="s">
        <v>461</v>
      </c>
      <c r="AE13" s="134" t="s">
        <v>626</v>
      </c>
      <c r="AO13" s="299" t="s">
        <v>2980</v>
      </c>
      <c r="AP13" s="299" t="s">
        <v>3035</v>
      </c>
      <c r="AX13" s="299" t="s">
        <v>48</v>
      </c>
    </row>
    <row r="14" spans="1:50" x14ac:dyDescent="0.3">
      <c r="E14" s="299" t="s">
        <v>872</v>
      </c>
      <c r="J14" s="520" t="s">
        <v>46</v>
      </c>
      <c r="K14" s="299" t="s">
        <v>3182</v>
      </c>
      <c r="R14" s="299" t="s">
        <v>2857</v>
      </c>
      <c r="S14" s="299" t="s">
        <v>2857</v>
      </c>
      <c r="U14" s="305" t="s">
        <v>132</v>
      </c>
      <c r="V14" s="305" t="s">
        <v>132</v>
      </c>
      <c r="Z14" s="134">
        <v>8420</v>
      </c>
      <c r="AA14" s="134" t="s">
        <v>433</v>
      </c>
      <c r="AC14" s="135" t="s">
        <v>462</v>
      </c>
      <c r="AE14" s="134" t="s">
        <v>623</v>
      </c>
      <c r="AO14" s="299" t="s">
        <v>2988</v>
      </c>
      <c r="AP14" s="299" t="s">
        <v>3043</v>
      </c>
      <c r="AX14" s="299" t="s">
        <v>60</v>
      </c>
    </row>
    <row r="15" spans="1:50" x14ac:dyDescent="0.3">
      <c r="E15" s="299" t="s">
        <v>27</v>
      </c>
      <c r="R15" s="299" t="s">
        <v>2858</v>
      </c>
      <c r="S15" s="299" t="s">
        <v>2858</v>
      </c>
      <c r="U15" s="305" t="s">
        <v>133</v>
      </c>
      <c r="V15" s="305" t="s">
        <v>170</v>
      </c>
      <c r="AC15" s="135" t="s">
        <v>463</v>
      </c>
      <c r="AE15" s="134" t="s">
        <v>628</v>
      </c>
      <c r="AO15" s="299" t="s">
        <v>2998</v>
      </c>
      <c r="AP15" s="299" t="s">
        <v>3053</v>
      </c>
      <c r="AX15" s="299" t="s">
        <v>14</v>
      </c>
    </row>
    <row r="16" spans="1:50" x14ac:dyDescent="0.3">
      <c r="E16" s="299" t="s">
        <v>30</v>
      </c>
      <c r="R16" s="299" t="s">
        <v>2859</v>
      </c>
      <c r="S16" s="299" t="s">
        <v>2869</v>
      </c>
      <c r="U16" s="305" t="s">
        <v>174</v>
      </c>
      <c r="V16" s="305" t="s">
        <v>170</v>
      </c>
      <c r="AC16" s="135" t="s">
        <v>464</v>
      </c>
      <c r="AE16" s="134" t="s">
        <v>620</v>
      </c>
      <c r="AO16" s="299" t="s">
        <v>2993</v>
      </c>
      <c r="AP16" s="299" t="s">
        <v>3048</v>
      </c>
      <c r="AX16" s="299" t="s">
        <v>52</v>
      </c>
    </row>
    <row r="17" spans="5:50" x14ac:dyDescent="0.3">
      <c r="E17" s="157"/>
      <c r="R17" s="299" t="s">
        <v>2860</v>
      </c>
      <c r="S17" s="299" t="s">
        <v>2860</v>
      </c>
      <c r="U17" s="305" t="s">
        <v>134</v>
      </c>
      <c r="V17" s="305" t="s">
        <v>634</v>
      </c>
      <c r="AC17" s="135" t="s">
        <v>465</v>
      </c>
      <c r="AO17" s="299" t="s">
        <v>2986</v>
      </c>
      <c r="AP17" s="299" t="s">
        <v>3041</v>
      </c>
      <c r="AX17" s="299" t="s">
        <v>57</v>
      </c>
    </row>
    <row r="18" spans="5:50" x14ac:dyDescent="0.3">
      <c r="R18" s="299" t="s">
        <v>2861</v>
      </c>
      <c r="S18" s="299" t="s">
        <v>2870</v>
      </c>
      <c r="U18" s="305" t="s">
        <v>135</v>
      </c>
      <c r="V18" s="305" t="s">
        <v>634</v>
      </c>
      <c r="AC18" s="135" t="s">
        <v>466</v>
      </c>
      <c r="AO18" s="299" t="s">
        <v>2977</v>
      </c>
      <c r="AP18" s="299" t="s">
        <v>3030</v>
      </c>
      <c r="AX18" s="299" t="s">
        <v>54</v>
      </c>
    </row>
    <row r="19" spans="5:50" x14ac:dyDescent="0.3">
      <c r="R19" s="299" t="s">
        <v>2862</v>
      </c>
      <c r="S19" s="299" t="s">
        <v>2862</v>
      </c>
      <c r="U19" s="305" t="s">
        <v>136</v>
      </c>
      <c r="V19" s="305" t="s">
        <v>170</v>
      </c>
      <c r="AC19" s="135" t="s">
        <v>467</v>
      </c>
      <c r="AO19" s="299" t="s">
        <v>2972</v>
      </c>
      <c r="AP19" s="299" t="s">
        <v>3024</v>
      </c>
      <c r="AX19" s="299" t="s">
        <v>55</v>
      </c>
    </row>
    <row r="20" spans="5:50" x14ac:dyDescent="0.3">
      <c r="R20" s="299" t="s">
        <v>2863</v>
      </c>
      <c r="S20" s="299" t="s">
        <v>2863</v>
      </c>
      <c r="U20" s="305" t="s">
        <v>175</v>
      </c>
      <c r="V20" s="305" t="s">
        <v>170</v>
      </c>
      <c r="AC20" s="135" t="s">
        <v>468</v>
      </c>
      <c r="AO20" s="299" t="s">
        <v>2983</v>
      </c>
      <c r="AP20" s="299" t="s">
        <v>3038</v>
      </c>
      <c r="AX20" s="299" t="s">
        <v>62</v>
      </c>
    </row>
    <row r="21" spans="5:50" x14ac:dyDescent="0.3">
      <c r="U21" s="305" t="s">
        <v>137</v>
      </c>
      <c r="V21" s="305" t="s">
        <v>170</v>
      </c>
      <c r="AC21" s="135" t="s">
        <v>469</v>
      </c>
      <c r="AO21" s="299" t="s">
        <v>2979</v>
      </c>
      <c r="AP21" s="299" t="s">
        <v>3034</v>
      </c>
      <c r="AX21" s="299" t="s">
        <v>18</v>
      </c>
    </row>
    <row r="22" spans="5:50" x14ac:dyDescent="0.3">
      <c r="U22" s="305" t="s">
        <v>138</v>
      </c>
      <c r="V22" s="305" t="s">
        <v>170</v>
      </c>
      <c r="AC22" s="135" t="s">
        <v>470</v>
      </c>
      <c r="AO22" s="299" t="s">
        <v>2982</v>
      </c>
      <c r="AP22" s="299" t="s">
        <v>3037</v>
      </c>
      <c r="AX22" s="299" t="s">
        <v>647</v>
      </c>
    </row>
    <row r="23" spans="5:50" x14ac:dyDescent="0.3">
      <c r="U23" s="305" t="s">
        <v>139</v>
      </c>
      <c r="V23" s="305" t="s">
        <v>170</v>
      </c>
      <c r="AC23" s="135" t="s">
        <v>471</v>
      </c>
      <c r="AO23" s="299" t="s">
        <v>2995</v>
      </c>
      <c r="AP23" s="299" t="s">
        <v>3050</v>
      </c>
      <c r="AX23" s="299" t="s">
        <v>648</v>
      </c>
    </row>
    <row r="24" spans="5:50" x14ac:dyDescent="0.3">
      <c r="U24" s="305" t="s">
        <v>177</v>
      </c>
      <c r="V24" s="305" t="s">
        <v>170</v>
      </c>
      <c r="AC24" s="135" t="s">
        <v>472</v>
      </c>
      <c r="AO24" s="299" t="s">
        <v>2984</v>
      </c>
      <c r="AP24" s="299" t="s">
        <v>3039</v>
      </c>
      <c r="AX24" s="299" t="s">
        <v>49</v>
      </c>
    </row>
    <row r="25" spans="5:50" x14ac:dyDescent="0.3">
      <c r="U25" s="305" t="s">
        <v>176</v>
      </c>
      <c r="V25" s="305" t="s">
        <v>170</v>
      </c>
      <c r="AC25" s="135" t="s">
        <v>473</v>
      </c>
      <c r="AO25" s="299" t="s">
        <v>2985</v>
      </c>
      <c r="AP25" s="299" t="s">
        <v>3040</v>
      </c>
      <c r="AX25" s="299" t="s">
        <v>58</v>
      </c>
    </row>
    <row r="26" spans="5:50" x14ac:dyDescent="0.3">
      <c r="U26" s="305" t="s">
        <v>178</v>
      </c>
      <c r="V26" s="305" t="s">
        <v>170</v>
      </c>
      <c r="AC26" s="135" t="s">
        <v>474</v>
      </c>
      <c r="AO26" s="299" t="s">
        <v>3015</v>
      </c>
      <c r="AP26" s="299" t="s">
        <v>3015</v>
      </c>
      <c r="AX26" s="299" t="s">
        <v>59</v>
      </c>
    </row>
    <row r="27" spans="5:50" x14ac:dyDescent="0.3">
      <c r="U27" s="305" t="s">
        <v>165</v>
      </c>
      <c r="V27" s="305" t="s">
        <v>170</v>
      </c>
      <c r="AC27" s="135" t="s">
        <v>475</v>
      </c>
      <c r="AO27" s="299" t="s">
        <v>2989</v>
      </c>
      <c r="AP27" s="299" t="s">
        <v>3044</v>
      </c>
      <c r="AX27" s="299" t="s">
        <v>643</v>
      </c>
    </row>
    <row r="28" spans="5:50" x14ac:dyDescent="0.3">
      <c r="U28" s="305" t="s">
        <v>179</v>
      </c>
      <c r="V28" s="305" t="s">
        <v>170</v>
      </c>
      <c r="AC28" s="135" t="s">
        <v>476</v>
      </c>
      <c r="AO28" s="299" t="s">
        <v>2991</v>
      </c>
      <c r="AP28" s="299" t="s">
        <v>3046</v>
      </c>
      <c r="AX28" s="299" t="s">
        <v>22</v>
      </c>
    </row>
    <row r="29" spans="5:50" x14ac:dyDescent="0.3">
      <c r="U29" s="305" t="s">
        <v>140</v>
      </c>
      <c r="V29" s="305" t="s">
        <v>170</v>
      </c>
      <c r="AC29" s="135" t="s">
        <v>477</v>
      </c>
      <c r="AO29" s="299" t="s">
        <v>3008</v>
      </c>
      <c r="AP29" s="299" t="s">
        <v>3063</v>
      </c>
      <c r="AX29" s="299" t="s">
        <v>50</v>
      </c>
    </row>
    <row r="30" spans="5:50" x14ac:dyDescent="0.3">
      <c r="U30" s="305" t="s">
        <v>141</v>
      </c>
      <c r="V30" s="305" t="s">
        <v>170</v>
      </c>
      <c r="AC30" s="135" t="s">
        <v>478</v>
      </c>
      <c r="AO30" s="299" t="s">
        <v>2981</v>
      </c>
      <c r="AP30" s="299" t="s">
        <v>3036</v>
      </c>
      <c r="AX30" s="299" t="s">
        <v>3077</v>
      </c>
    </row>
    <row r="31" spans="5:50" x14ac:dyDescent="0.3">
      <c r="U31" s="305" t="s">
        <v>164</v>
      </c>
      <c r="V31" s="305" t="s">
        <v>170</v>
      </c>
      <c r="AC31" s="135" t="s">
        <v>479</v>
      </c>
      <c r="AO31" s="299" t="s">
        <v>2992</v>
      </c>
      <c r="AP31" s="299" t="s">
        <v>3047</v>
      </c>
      <c r="AX31" s="299" t="s">
        <v>53</v>
      </c>
    </row>
    <row r="32" spans="5:50" x14ac:dyDescent="0.3">
      <c r="U32" s="305" t="s">
        <v>167</v>
      </c>
      <c r="V32" s="305" t="s">
        <v>170</v>
      </c>
      <c r="AC32" s="135" t="s">
        <v>480</v>
      </c>
      <c r="AO32" s="299" t="s">
        <v>3007</v>
      </c>
      <c r="AP32" s="299" t="s">
        <v>3062</v>
      </c>
      <c r="AX32" s="299" t="s">
        <v>61</v>
      </c>
    </row>
    <row r="33" spans="21:42" x14ac:dyDescent="0.3">
      <c r="U33" s="305" t="s">
        <v>142</v>
      </c>
      <c r="V33" s="305" t="s">
        <v>170</v>
      </c>
      <c r="AC33" s="135" t="s">
        <v>481</v>
      </c>
      <c r="AO33" s="299" t="s">
        <v>3016</v>
      </c>
      <c r="AP33" s="299" t="s">
        <v>3016</v>
      </c>
    </row>
    <row r="34" spans="21:42" x14ac:dyDescent="0.3">
      <c r="U34" s="305" t="s">
        <v>737</v>
      </c>
      <c r="V34" s="305" t="s">
        <v>634</v>
      </c>
      <c r="AC34" s="135" t="s">
        <v>482</v>
      </c>
      <c r="AO34" s="299" t="s">
        <v>2994</v>
      </c>
      <c r="AP34" s="299" t="s">
        <v>3049</v>
      </c>
    </row>
    <row r="35" spans="21:42" x14ac:dyDescent="0.3">
      <c r="U35" s="305" t="s">
        <v>143</v>
      </c>
      <c r="V35" s="305" t="s">
        <v>634</v>
      </c>
      <c r="AC35" s="135" t="s">
        <v>483</v>
      </c>
      <c r="AO35" s="299" t="s">
        <v>3009</v>
      </c>
      <c r="AP35" s="299" t="s">
        <v>3064</v>
      </c>
    </row>
    <row r="36" spans="21:42" x14ac:dyDescent="0.3">
      <c r="U36" s="305" t="s">
        <v>180</v>
      </c>
      <c r="V36" s="305" t="s">
        <v>170</v>
      </c>
      <c r="AC36" s="135" t="s">
        <v>484</v>
      </c>
      <c r="AO36" s="299" t="s">
        <v>3145</v>
      </c>
      <c r="AP36" s="299" t="s">
        <v>3144</v>
      </c>
    </row>
    <row r="37" spans="21:42" x14ac:dyDescent="0.3">
      <c r="U37" s="305" t="s">
        <v>181</v>
      </c>
      <c r="V37" s="305" t="s">
        <v>170</v>
      </c>
      <c r="AC37" s="135" t="s">
        <v>485</v>
      </c>
      <c r="AO37" s="299" t="s">
        <v>3004</v>
      </c>
      <c r="AP37" s="299" t="s">
        <v>3059</v>
      </c>
    </row>
    <row r="38" spans="21:42" x14ac:dyDescent="0.3">
      <c r="U38" s="305" t="s">
        <v>144</v>
      </c>
      <c r="V38" s="305" t="s">
        <v>634</v>
      </c>
      <c r="AC38" s="135" t="s">
        <v>486</v>
      </c>
      <c r="AO38" s="299" t="s">
        <v>2970</v>
      </c>
      <c r="AP38" s="299" t="s">
        <v>3022</v>
      </c>
    </row>
    <row r="39" spans="21:42" x14ac:dyDescent="0.3">
      <c r="U39" s="305" t="s">
        <v>182</v>
      </c>
      <c r="V39" s="305" t="s">
        <v>170</v>
      </c>
      <c r="AC39" s="135" t="s">
        <v>487</v>
      </c>
      <c r="AO39" s="299" t="s">
        <v>2974</v>
      </c>
      <c r="AP39" s="299" t="s">
        <v>3027</v>
      </c>
    </row>
    <row r="40" spans="21:42" x14ac:dyDescent="0.3">
      <c r="U40" s="305" t="s">
        <v>145</v>
      </c>
      <c r="V40" s="305" t="s">
        <v>145</v>
      </c>
      <c r="AC40" s="135" t="s">
        <v>488</v>
      </c>
      <c r="AO40" s="299" t="s">
        <v>2971</v>
      </c>
      <c r="AP40" s="299" t="s">
        <v>3023</v>
      </c>
    </row>
    <row r="41" spans="21:42" x14ac:dyDescent="0.3">
      <c r="U41" s="305" t="s">
        <v>146</v>
      </c>
      <c r="V41" s="305" t="s">
        <v>170</v>
      </c>
      <c r="AC41" s="135" t="s">
        <v>489</v>
      </c>
      <c r="AO41" s="299" t="s">
        <v>2967</v>
      </c>
      <c r="AP41" s="299" t="s">
        <v>3019</v>
      </c>
    </row>
    <row r="42" spans="21:42" x14ac:dyDescent="0.3">
      <c r="U42" s="305" t="s">
        <v>148</v>
      </c>
      <c r="V42" s="305" t="s">
        <v>170</v>
      </c>
      <c r="AC42" s="135" t="s">
        <v>490</v>
      </c>
      <c r="AO42" s="299" t="s">
        <v>2969</v>
      </c>
      <c r="AP42" s="299" t="s">
        <v>3021</v>
      </c>
    </row>
    <row r="43" spans="21:42" x14ac:dyDescent="0.3">
      <c r="U43" s="305" t="s">
        <v>147</v>
      </c>
      <c r="V43" s="305" t="s">
        <v>170</v>
      </c>
      <c r="AC43" s="135" t="s">
        <v>491</v>
      </c>
      <c r="AO43" s="299" t="s">
        <v>2975</v>
      </c>
      <c r="AP43" s="299" t="s">
        <v>3028</v>
      </c>
    </row>
    <row r="44" spans="21:42" x14ac:dyDescent="0.3">
      <c r="U44" s="305" t="s">
        <v>149</v>
      </c>
      <c r="V44" s="305" t="s">
        <v>170</v>
      </c>
      <c r="AC44" s="135" t="s">
        <v>492</v>
      </c>
      <c r="AO44" s="299" t="s">
        <v>3122</v>
      </c>
      <c r="AP44" s="299" t="s">
        <v>3121</v>
      </c>
    </row>
    <row r="45" spans="21:42" x14ac:dyDescent="0.3">
      <c r="U45" s="305" t="s">
        <v>150</v>
      </c>
      <c r="V45" s="305" t="s">
        <v>170</v>
      </c>
      <c r="AC45" s="135" t="s">
        <v>493</v>
      </c>
      <c r="AO45" s="299" t="s">
        <v>3069</v>
      </c>
      <c r="AP45" s="299" t="s">
        <v>3025</v>
      </c>
    </row>
    <row r="46" spans="21:42" x14ac:dyDescent="0.3">
      <c r="U46" s="305" t="s">
        <v>151</v>
      </c>
      <c r="V46" s="305" t="s">
        <v>151</v>
      </c>
      <c r="AC46" s="135" t="s">
        <v>494</v>
      </c>
      <c r="AO46" s="299" t="s">
        <v>2966</v>
      </c>
      <c r="AP46" s="299" t="s">
        <v>3018</v>
      </c>
    </row>
    <row r="47" spans="21:42" x14ac:dyDescent="0.3">
      <c r="U47" s="305" t="s">
        <v>152</v>
      </c>
      <c r="V47" s="305" t="s">
        <v>170</v>
      </c>
      <c r="AC47" s="135" t="s">
        <v>495</v>
      </c>
      <c r="AO47" s="299" t="s">
        <v>2965</v>
      </c>
      <c r="AP47" s="299" t="s">
        <v>3017</v>
      </c>
    </row>
    <row r="48" spans="21:42" x14ac:dyDescent="0.3">
      <c r="U48" s="305" t="s">
        <v>153</v>
      </c>
      <c r="V48" s="305" t="s">
        <v>170</v>
      </c>
      <c r="AC48" s="135" t="s">
        <v>496</v>
      </c>
      <c r="AO48" s="299" t="s">
        <v>2976</v>
      </c>
      <c r="AP48" s="299" t="s">
        <v>3029</v>
      </c>
    </row>
    <row r="49" spans="21:42" x14ac:dyDescent="0.3">
      <c r="U49" s="305" t="s">
        <v>154</v>
      </c>
      <c r="V49" s="305" t="s">
        <v>154</v>
      </c>
      <c r="AC49" s="135" t="s">
        <v>497</v>
      </c>
      <c r="AO49" s="299" t="s">
        <v>2973</v>
      </c>
      <c r="AP49" s="299" t="s">
        <v>3026</v>
      </c>
    </row>
    <row r="50" spans="21:42" x14ac:dyDescent="0.3">
      <c r="U50" s="305" t="s">
        <v>155</v>
      </c>
      <c r="V50" s="305" t="s">
        <v>170</v>
      </c>
      <c r="AC50" s="135" t="s">
        <v>498</v>
      </c>
      <c r="AO50" s="299" t="s">
        <v>2990</v>
      </c>
      <c r="AP50" s="299" t="s">
        <v>3045</v>
      </c>
    </row>
    <row r="51" spans="21:42" x14ac:dyDescent="0.3">
      <c r="U51" s="305" t="s">
        <v>156</v>
      </c>
      <c r="V51" s="305" t="s">
        <v>634</v>
      </c>
      <c r="AC51" s="135" t="s">
        <v>499</v>
      </c>
      <c r="AO51" s="299" t="s">
        <v>3005</v>
      </c>
      <c r="AP51" s="299" t="s">
        <v>3060</v>
      </c>
    </row>
    <row r="52" spans="21:42" x14ac:dyDescent="0.3">
      <c r="U52" s="305" t="s">
        <v>157</v>
      </c>
      <c r="V52" s="305" t="s">
        <v>634</v>
      </c>
      <c r="AC52" s="135" t="s">
        <v>500</v>
      </c>
      <c r="AO52" s="299" t="s">
        <v>3001</v>
      </c>
      <c r="AP52" s="299" t="s">
        <v>3056</v>
      </c>
    </row>
    <row r="53" spans="21:42" x14ac:dyDescent="0.3">
      <c r="U53" s="305" t="s">
        <v>183</v>
      </c>
      <c r="V53" s="305" t="s">
        <v>170</v>
      </c>
      <c r="AC53" s="135" t="s">
        <v>501</v>
      </c>
      <c r="AO53" s="299" t="s">
        <v>2968</v>
      </c>
      <c r="AP53" s="503" t="s">
        <v>3020</v>
      </c>
    </row>
    <row r="54" spans="21:42" x14ac:dyDescent="0.3">
      <c r="U54" s="305" t="s">
        <v>158</v>
      </c>
      <c r="V54" s="305" t="s">
        <v>158</v>
      </c>
      <c r="AC54" s="135" t="s">
        <v>502</v>
      </c>
      <c r="AO54" s="299" t="s">
        <v>3006</v>
      </c>
      <c r="AP54" s="299" t="s">
        <v>3061</v>
      </c>
    </row>
    <row r="55" spans="21:42" x14ac:dyDescent="0.3">
      <c r="U55" s="305" t="s">
        <v>166</v>
      </c>
      <c r="V55" s="305" t="s">
        <v>170</v>
      </c>
      <c r="AC55" s="135" t="s">
        <v>503</v>
      </c>
      <c r="AO55" s="299" t="s">
        <v>3146</v>
      </c>
      <c r="AP55" s="299" t="s">
        <v>3147</v>
      </c>
    </row>
    <row r="56" spans="21:42" x14ac:dyDescent="0.3">
      <c r="U56" s="305" t="s">
        <v>159</v>
      </c>
      <c r="V56" s="305" t="s">
        <v>159</v>
      </c>
      <c r="AC56" s="135" t="s">
        <v>504</v>
      </c>
      <c r="AO56" s="299" t="s">
        <v>3014</v>
      </c>
      <c r="AP56" s="299" t="s">
        <v>3068</v>
      </c>
    </row>
    <row r="57" spans="21:42" x14ac:dyDescent="0.3">
      <c r="U57" s="305" t="s">
        <v>160</v>
      </c>
      <c r="V57" s="305" t="s">
        <v>170</v>
      </c>
      <c r="AC57" s="135" t="s">
        <v>505</v>
      </c>
      <c r="AO57" s="299" t="s">
        <v>3071</v>
      </c>
      <c r="AP57" s="299" t="s">
        <v>3033</v>
      </c>
    </row>
    <row r="58" spans="21:42" x14ac:dyDescent="0.3">
      <c r="U58" s="305" t="s">
        <v>161</v>
      </c>
      <c r="V58" s="305" t="s">
        <v>161</v>
      </c>
      <c r="AC58" s="135" t="s">
        <v>506</v>
      </c>
      <c r="AO58" s="299" t="s">
        <v>3013</v>
      </c>
      <c r="AP58" s="299" t="s">
        <v>3067</v>
      </c>
    </row>
    <row r="59" spans="21:42" x14ac:dyDescent="0.3">
      <c r="U59" s="305" t="s">
        <v>162</v>
      </c>
      <c r="V59" s="305" t="s">
        <v>162</v>
      </c>
      <c r="AC59" s="135" t="s">
        <v>507</v>
      </c>
      <c r="AO59" s="299" t="s">
        <v>3072</v>
      </c>
      <c r="AP59" s="299" t="s">
        <v>3066</v>
      </c>
    </row>
    <row r="60" spans="21:42" x14ac:dyDescent="0.3">
      <c r="U60" s="305" t="s">
        <v>168</v>
      </c>
      <c r="V60" s="305" t="s">
        <v>170</v>
      </c>
      <c r="AC60" s="135" t="s">
        <v>508</v>
      </c>
      <c r="AO60" s="299" t="s">
        <v>3003</v>
      </c>
      <c r="AP60" s="299" t="s">
        <v>3058</v>
      </c>
    </row>
    <row r="61" spans="21:42" x14ac:dyDescent="0.3">
      <c r="U61" s="305" t="s">
        <v>163</v>
      </c>
      <c r="V61" s="305" t="s">
        <v>170</v>
      </c>
      <c r="AC61" s="135" t="s">
        <v>509</v>
      </c>
      <c r="AO61" s="299" t="s">
        <v>3012</v>
      </c>
      <c r="AP61" s="299" t="s">
        <v>3012</v>
      </c>
    </row>
    <row r="62" spans="21:42" x14ac:dyDescent="0.3">
      <c r="AC62" s="135" t="s">
        <v>510</v>
      </c>
      <c r="AO62" s="299" t="s">
        <v>2997</v>
      </c>
      <c r="AP62" s="299" t="s">
        <v>3052</v>
      </c>
    </row>
    <row r="63" spans="21:42" x14ac:dyDescent="0.3">
      <c r="AC63" s="135" t="s">
        <v>511</v>
      </c>
      <c r="AO63" s="299" t="s">
        <v>3002</v>
      </c>
      <c r="AP63" s="299" t="s">
        <v>3057</v>
      </c>
    </row>
    <row r="64" spans="21:42" x14ac:dyDescent="0.3">
      <c r="AC64" s="135" t="s">
        <v>512</v>
      </c>
      <c r="AO64" s="559"/>
      <c r="AP64" s="559"/>
    </row>
    <row r="65" spans="29:42" x14ac:dyDescent="0.3">
      <c r="AC65" s="135" t="s">
        <v>513</v>
      </c>
      <c r="AO65" s="559"/>
      <c r="AP65" s="559"/>
    </row>
    <row r="66" spans="29:42" x14ac:dyDescent="0.3">
      <c r="AC66" s="135" t="s">
        <v>514</v>
      </c>
      <c r="AO66" s="559"/>
      <c r="AP66" s="559"/>
    </row>
    <row r="67" spans="29:42" x14ac:dyDescent="0.3">
      <c r="AC67" s="135" t="s">
        <v>515</v>
      </c>
      <c r="AO67" s="559"/>
      <c r="AP67" s="559"/>
    </row>
    <row r="68" spans="29:42" x14ac:dyDescent="0.3">
      <c r="AC68" s="135" t="s">
        <v>516</v>
      </c>
      <c r="AO68" s="559"/>
      <c r="AP68" s="559"/>
    </row>
    <row r="69" spans="29:42" x14ac:dyDescent="0.3">
      <c r="AC69" s="135" t="s">
        <v>517</v>
      </c>
      <c r="AO69" s="559"/>
      <c r="AP69" s="559"/>
    </row>
    <row r="70" spans="29:42" x14ac:dyDescent="0.3">
      <c r="AC70" s="135" t="s">
        <v>518</v>
      </c>
      <c r="AO70" s="559"/>
      <c r="AP70" s="559"/>
    </row>
    <row r="71" spans="29:42" x14ac:dyDescent="0.3">
      <c r="AC71" s="135" t="s">
        <v>519</v>
      </c>
      <c r="AO71" s="559"/>
      <c r="AP71" s="559"/>
    </row>
    <row r="72" spans="29:42" x14ac:dyDescent="0.3">
      <c r="AC72" s="135" t="s">
        <v>520</v>
      </c>
      <c r="AO72" s="559"/>
      <c r="AP72" s="559"/>
    </row>
    <row r="73" spans="29:42" x14ac:dyDescent="0.3">
      <c r="AC73" s="135" t="s">
        <v>521</v>
      </c>
      <c r="AO73" s="559"/>
      <c r="AP73" s="559"/>
    </row>
    <row r="74" spans="29:42" x14ac:dyDescent="0.3">
      <c r="AC74" s="135" t="s">
        <v>522</v>
      </c>
      <c r="AO74" s="559"/>
      <c r="AP74" s="559"/>
    </row>
    <row r="75" spans="29:42" x14ac:dyDescent="0.3">
      <c r="AC75" s="135" t="s">
        <v>523</v>
      </c>
    </row>
    <row r="76" spans="29:42" x14ac:dyDescent="0.3">
      <c r="AC76" s="135" t="s">
        <v>524</v>
      </c>
    </row>
    <row r="77" spans="29:42" x14ac:dyDescent="0.3">
      <c r="AC77" s="135" t="s">
        <v>525</v>
      </c>
    </row>
    <row r="78" spans="29:42" x14ac:dyDescent="0.3">
      <c r="AC78" s="135" t="s">
        <v>526</v>
      </c>
    </row>
    <row r="79" spans="29:42" x14ac:dyDescent="0.3">
      <c r="AC79" s="135" t="s">
        <v>527</v>
      </c>
    </row>
    <row r="80" spans="29:42" x14ac:dyDescent="0.3">
      <c r="AC80" s="135" t="s">
        <v>528</v>
      </c>
    </row>
    <row r="81" spans="29:29" x14ac:dyDescent="0.3">
      <c r="AC81" s="135" t="s">
        <v>529</v>
      </c>
    </row>
    <row r="82" spans="29:29" x14ac:dyDescent="0.3">
      <c r="AC82" s="135" t="s">
        <v>530</v>
      </c>
    </row>
    <row r="83" spans="29:29" x14ac:dyDescent="0.3">
      <c r="AC83" s="135" t="s">
        <v>531</v>
      </c>
    </row>
    <row r="84" spans="29:29" x14ac:dyDescent="0.3">
      <c r="AC84" s="135" t="s">
        <v>532</v>
      </c>
    </row>
    <row r="85" spans="29:29" x14ac:dyDescent="0.3">
      <c r="AC85" s="135" t="s">
        <v>533</v>
      </c>
    </row>
    <row r="86" spans="29:29" x14ac:dyDescent="0.3">
      <c r="AC86" s="135" t="s">
        <v>534</v>
      </c>
    </row>
    <row r="87" spans="29:29" x14ac:dyDescent="0.3">
      <c r="AC87" s="135" t="s">
        <v>535</v>
      </c>
    </row>
    <row r="88" spans="29:29" x14ac:dyDescent="0.3">
      <c r="AC88" s="135" t="s">
        <v>536</v>
      </c>
    </row>
    <row r="89" spans="29:29" x14ac:dyDescent="0.3">
      <c r="AC89" s="135" t="s">
        <v>537</v>
      </c>
    </row>
    <row r="90" spans="29:29" x14ac:dyDescent="0.3">
      <c r="AC90" s="135" t="s">
        <v>538</v>
      </c>
    </row>
    <row r="91" spans="29:29" x14ac:dyDescent="0.3">
      <c r="AC91" s="135" t="s">
        <v>539</v>
      </c>
    </row>
    <row r="92" spans="29:29" x14ac:dyDescent="0.3">
      <c r="AC92" s="135" t="s">
        <v>540</v>
      </c>
    </row>
    <row r="93" spans="29:29" x14ac:dyDescent="0.3">
      <c r="AC93" s="135" t="s">
        <v>541</v>
      </c>
    </row>
    <row r="94" spans="29:29" x14ac:dyDescent="0.3">
      <c r="AC94" s="135" t="s">
        <v>542</v>
      </c>
    </row>
    <row r="95" spans="29:29" x14ac:dyDescent="0.3">
      <c r="AC95" s="135" t="s">
        <v>543</v>
      </c>
    </row>
    <row r="96" spans="29:29" x14ac:dyDescent="0.3">
      <c r="AC96" s="135" t="s">
        <v>544</v>
      </c>
    </row>
    <row r="97" spans="29:29" x14ac:dyDescent="0.3">
      <c r="AC97" s="135" t="s">
        <v>545</v>
      </c>
    </row>
    <row r="98" spans="29:29" x14ac:dyDescent="0.3">
      <c r="AC98" s="135" t="s">
        <v>546</v>
      </c>
    </row>
    <row r="99" spans="29:29" x14ac:dyDescent="0.3">
      <c r="AC99" s="135" t="s">
        <v>547</v>
      </c>
    </row>
    <row r="100" spans="29:29" x14ac:dyDescent="0.3">
      <c r="AC100" s="135" t="s">
        <v>548</v>
      </c>
    </row>
    <row r="101" spans="29:29" x14ac:dyDescent="0.3">
      <c r="AC101" s="135" t="s">
        <v>549</v>
      </c>
    </row>
    <row r="102" spans="29:29" x14ac:dyDescent="0.3">
      <c r="AC102" s="135" t="s">
        <v>550</v>
      </c>
    </row>
    <row r="103" spans="29:29" x14ac:dyDescent="0.3">
      <c r="AC103" s="305" t="s">
        <v>3080</v>
      </c>
    </row>
    <row r="104" spans="29:29" x14ac:dyDescent="0.3">
      <c r="AC104" s="305" t="s">
        <v>836</v>
      </c>
    </row>
    <row r="105" spans="29:29" x14ac:dyDescent="0.3">
      <c r="AC105" s="305" t="s">
        <v>3081</v>
      </c>
    </row>
    <row r="106" spans="29:29" x14ac:dyDescent="0.3">
      <c r="AC106" s="305" t="s">
        <v>3082</v>
      </c>
    </row>
    <row r="107" spans="29:29" x14ac:dyDescent="0.3">
      <c r="AC107" s="305" t="s">
        <v>3083</v>
      </c>
    </row>
    <row r="108" spans="29:29" x14ac:dyDescent="0.3">
      <c r="AC108" s="305" t="s">
        <v>3084</v>
      </c>
    </row>
    <row r="109" spans="29:29" x14ac:dyDescent="0.3">
      <c r="AC109" s="305" t="s">
        <v>3085</v>
      </c>
    </row>
    <row r="110" spans="29:29" x14ac:dyDescent="0.3">
      <c r="AC110" s="305" t="s">
        <v>3086</v>
      </c>
    </row>
    <row r="111" spans="29:29" x14ac:dyDescent="0.3">
      <c r="AC111" s="305" t="s">
        <v>3087</v>
      </c>
    </row>
    <row r="112" spans="29:29" x14ac:dyDescent="0.3">
      <c r="AC112" s="305" t="s">
        <v>837</v>
      </c>
    </row>
    <row r="113" spans="29:29" x14ac:dyDescent="0.3">
      <c r="AC113" s="305" t="s">
        <v>838</v>
      </c>
    </row>
  </sheetData>
  <sortState xmlns:xlrd2="http://schemas.microsoft.com/office/spreadsheetml/2017/richdata2" ref="AO5:AP76">
    <sortCondition ref="AO4"/>
  </sortState>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tabColor theme="5"/>
  </sheetPr>
  <dimension ref="B1:BQ281"/>
  <sheetViews>
    <sheetView topLeftCell="BB42" zoomScale="70" zoomScaleNormal="70" workbookViewId="0">
      <selection activeCell="BE60" sqref="BE60"/>
    </sheetView>
  </sheetViews>
  <sheetFormatPr baseColWidth="10" defaultColWidth="9.109375" defaultRowHeight="14.4" outlineLevelCol="1" x14ac:dyDescent="0.3"/>
  <cols>
    <col min="2" max="2" width="76.5546875" bestFit="1" customWidth="1"/>
    <col min="3" max="3" width="11.88671875" style="36" customWidth="1"/>
    <col min="4" max="4" width="12" style="36" customWidth="1"/>
    <col min="5" max="5" width="10" style="36" bestFit="1" customWidth="1"/>
    <col min="6" max="6" width="16.5546875" style="36" bestFit="1" customWidth="1"/>
    <col min="7" max="8" width="16.5546875" style="36" customWidth="1"/>
    <col min="10" max="10" width="80" bestFit="1" customWidth="1"/>
    <col min="11" max="11" width="17.44140625" bestFit="1" customWidth="1"/>
    <col min="16" max="16" width="52.44140625" bestFit="1" customWidth="1"/>
    <col min="17" max="20" width="15.109375" customWidth="1"/>
    <col min="21" max="23" width="14.5546875" customWidth="1" outlineLevel="1"/>
    <col min="24" max="35" width="18.109375" customWidth="1"/>
    <col min="37" max="37" width="39.109375" bestFit="1" customWidth="1"/>
    <col min="38" max="38" width="26.88671875" bestFit="1" customWidth="1"/>
    <col min="39" max="39" width="24.5546875" bestFit="1" customWidth="1"/>
    <col min="41" max="41" width="42.5546875" customWidth="1"/>
    <col min="42" max="47" width="19.44140625" customWidth="1"/>
    <col min="49" max="49" width="26.44140625" bestFit="1" customWidth="1"/>
    <col min="50" max="50" width="11" bestFit="1" customWidth="1"/>
    <col min="51" max="51" width="18.109375" bestFit="1" customWidth="1"/>
    <col min="52" max="52" width="54.109375" bestFit="1" customWidth="1"/>
    <col min="54" max="54" width="18.5546875" style="102" bestFit="1" customWidth="1"/>
    <col min="55" max="55" width="24.44140625" style="36" bestFit="1" customWidth="1"/>
    <col min="56" max="56" width="8" style="36" bestFit="1" customWidth="1"/>
    <col min="57" max="57" width="29.44140625" style="36" bestFit="1" customWidth="1"/>
    <col min="58" max="58" width="53.109375" style="36" customWidth="1"/>
    <col min="59" max="59" width="31.44140625" bestFit="1" customWidth="1"/>
    <col min="60" max="60" width="53.109375" style="36" bestFit="1" customWidth="1"/>
    <col min="61" max="61" width="43" style="36" bestFit="1" customWidth="1"/>
    <col min="63" max="63" width="25.5546875" customWidth="1"/>
    <col min="64" max="64" width="27.44140625" customWidth="1"/>
    <col min="67" max="67" width="9.109375" style="391"/>
    <col min="68" max="68" width="32.44140625" bestFit="1" customWidth="1"/>
  </cols>
  <sheetData>
    <row r="1" spans="2:69" ht="15" thickBot="1" x14ac:dyDescent="0.35"/>
    <row r="2" spans="2:69" ht="15" thickTop="1" x14ac:dyDescent="0.3">
      <c r="B2" s="70" t="s">
        <v>2796</v>
      </c>
      <c r="J2" s="70" t="s">
        <v>225</v>
      </c>
      <c r="P2" s="678" t="s">
        <v>2795</v>
      </c>
      <c r="Q2" s="678"/>
      <c r="R2" s="678"/>
      <c r="S2" s="678"/>
      <c r="X2" s="1035" t="s">
        <v>91</v>
      </c>
      <c r="Y2" s="1036"/>
      <c r="Z2" s="1036"/>
      <c r="AA2" s="1037"/>
      <c r="AB2" s="1035" t="s">
        <v>92</v>
      </c>
      <c r="AC2" s="1036"/>
      <c r="AD2" s="1036"/>
      <c r="AE2" s="1037"/>
      <c r="AF2" s="1035" t="s">
        <v>93</v>
      </c>
      <c r="AG2" s="1036"/>
      <c r="AH2" s="1036"/>
      <c r="AI2" s="1037"/>
      <c r="AK2" s="70" t="s">
        <v>2797</v>
      </c>
      <c r="BB2" s="493" t="s">
        <v>2798</v>
      </c>
    </row>
    <row r="3" spans="2:69" x14ac:dyDescent="0.3">
      <c r="Q3" s="1034" t="s">
        <v>389</v>
      </c>
      <c r="R3" s="1034"/>
      <c r="S3" s="1034" t="s">
        <v>390</v>
      </c>
      <c r="T3" s="1034"/>
      <c r="U3" s="1034" t="s">
        <v>2794</v>
      </c>
      <c r="V3" s="1034"/>
      <c r="W3" s="1034"/>
      <c r="X3" s="1034" t="s">
        <v>2802</v>
      </c>
      <c r="Y3" s="1034"/>
      <c r="Z3" s="1034" t="s">
        <v>2803</v>
      </c>
      <c r="AA3" s="1034"/>
      <c r="AB3" s="1034" t="s">
        <v>2802</v>
      </c>
      <c r="AC3" s="1034"/>
      <c r="AD3" s="1034" t="s">
        <v>2803</v>
      </c>
      <c r="AE3" s="1034"/>
      <c r="AF3" s="1034" t="s">
        <v>2802</v>
      </c>
      <c r="AG3" s="1034"/>
      <c r="AH3" s="1034" t="s">
        <v>2803</v>
      </c>
      <c r="AI3" s="1034"/>
      <c r="AO3" s="275" t="s">
        <v>668</v>
      </c>
    </row>
    <row r="4" spans="2:69" x14ac:dyDescent="0.3">
      <c r="B4" s="68" t="s">
        <v>200</v>
      </c>
      <c r="C4" s="69" t="s">
        <v>201</v>
      </c>
      <c r="D4" s="69" t="s">
        <v>202</v>
      </c>
      <c r="E4" s="69" t="s">
        <v>203</v>
      </c>
      <c r="F4" s="69" t="s">
        <v>204</v>
      </c>
      <c r="G4" s="59" t="s">
        <v>237</v>
      </c>
      <c r="H4" s="59" t="s">
        <v>238</v>
      </c>
      <c r="J4" s="69" t="s">
        <v>226</v>
      </c>
      <c r="K4" s="69" t="s">
        <v>227</v>
      </c>
      <c r="L4" s="59" t="s">
        <v>245</v>
      </c>
      <c r="M4" s="59" t="s">
        <v>246</v>
      </c>
      <c r="N4" s="129"/>
      <c r="O4" s="1038" t="s">
        <v>395</v>
      </c>
      <c r="P4" s="59" t="s">
        <v>396</v>
      </c>
      <c r="Q4" s="59" t="s">
        <v>289</v>
      </c>
      <c r="R4" s="59" t="s">
        <v>290</v>
      </c>
      <c r="S4" s="59" t="s">
        <v>289</v>
      </c>
      <c r="T4" s="59" t="s">
        <v>290</v>
      </c>
      <c r="U4" s="59" t="s">
        <v>91</v>
      </c>
      <c r="V4" s="59" t="s">
        <v>92</v>
      </c>
      <c r="W4" s="59" t="s">
        <v>93</v>
      </c>
      <c r="X4" s="59" t="s">
        <v>580</v>
      </c>
      <c r="Y4" s="59" t="s">
        <v>581</v>
      </c>
      <c r="Z4" s="59" t="s">
        <v>580</v>
      </c>
      <c r="AA4" s="59" t="s">
        <v>581</v>
      </c>
      <c r="AB4" s="59" t="s">
        <v>580</v>
      </c>
      <c r="AC4" s="59" t="s">
        <v>581</v>
      </c>
      <c r="AD4" s="59" t="s">
        <v>580</v>
      </c>
      <c r="AE4" s="59" t="s">
        <v>581</v>
      </c>
      <c r="AF4" s="59" t="s">
        <v>580</v>
      </c>
      <c r="AG4" s="59" t="s">
        <v>581</v>
      </c>
      <c r="AH4" s="59" t="s">
        <v>580</v>
      </c>
      <c r="AI4" s="59" t="s">
        <v>581</v>
      </c>
      <c r="AK4" s="59" t="s">
        <v>413</v>
      </c>
      <c r="AL4" s="59" t="s">
        <v>414</v>
      </c>
      <c r="AM4" s="59" t="s">
        <v>415</v>
      </c>
      <c r="AO4" s="59" t="s">
        <v>657</v>
      </c>
      <c r="AP4" s="59" t="s">
        <v>658</v>
      </c>
      <c r="AQ4" s="59" t="s">
        <v>659</v>
      </c>
      <c r="AR4" s="59" t="s">
        <v>660</v>
      </c>
      <c r="AS4" s="59" t="s">
        <v>661</v>
      </c>
      <c r="AT4" s="59" t="s">
        <v>662</v>
      </c>
      <c r="AU4" s="59" t="s">
        <v>663</v>
      </c>
      <c r="AW4" s="59" t="s">
        <v>281</v>
      </c>
      <c r="AX4" s="59" t="s">
        <v>632</v>
      </c>
      <c r="AY4" s="59" t="s">
        <v>684</v>
      </c>
      <c r="AZ4" s="59" t="s">
        <v>685</v>
      </c>
      <c r="BB4" s="494" t="s">
        <v>739</v>
      </c>
      <c r="BC4" s="59" t="s">
        <v>740</v>
      </c>
      <c r="BD4" s="59" t="s">
        <v>741</v>
      </c>
      <c r="BE4" s="59" t="s">
        <v>742</v>
      </c>
      <c r="BF4" s="59" t="s">
        <v>2274</v>
      </c>
      <c r="BH4" s="59" t="s">
        <v>743</v>
      </c>
      <c r="BI4" s="59" t="s">
        <v>685</v>
      </c>
      <c r="BK4" s="1034" t="s">
        <v>2497</v>
      </c>
      <c r="BL4" s="1034"/>
      <c r="BP4" s="59" t="s">
        <v>2277</v>
      </c>
    </row>
    <row r="5" spans="2:69" ht="17.399999999999999" x14ac:dyDescent="0.3">
      <c r="B5" s="67" t="s">
        <v>205</v>
      </c>
      <c r="C5" s="37" t="s">
        <v>206</v>
      </c>
      <c r="D5" s="37" t="s">
        <v>206</v>
      </c>
      <c r="E5" s="37" t="s">
        <v>207</v>
      </c>
      <c r="F5" s="37">
        <v>20</v>
      </c>
      <c r="G5" s="37">
        <v>1</v>
      </c>
      <c r="H5" s="37" t="s">
        <v>240</v>
      </c>
      <c r="J5" s="37" t="s">
        <v>228</v>
      </c>
      <c r="K5" s="37">
        <v>0</v>
      </c>
      <c r="L5" s="67">
        <v>0</v>
      </c>
      <c r="M5" s="67">
        <v>3.9999899999999999</v>
      </c>
      <c r="O5" s="1038"/>
      <c r="P5" t="s">
        <v>391</v>
      </c>
      <c r="Q5" s="102">
        <v>12</v>
      </c>
      <c r="R5" s="102">
        <v>35</v>
      </c>
      <c r="S5" s="102">
        <v>350</v>
      </c>
      <c r="T5" s="131">
        <v>750</v>
      </c>
      <c r="U5" s="181">
        <f>Surfaces!O174</f>
        <v>0</v>
      </c>
      <c r="V5" s="182">
        <f>Surfaces!P174</f>
        <v>0</v>
      </c>
      <c r="W5" s="183">
        <f>Surfaces!Q174</f>
        <v>0</v>
      </c>
      <c r="X5" s="190">
        <f>Q5*U5</f>
        <v>0</v>
      </c>
      <c r="Y5" s="102">
        <f>R5*U5</f>
        <v>0</v>
      </c>
      <c r="Z5" s="102">
        <f>S5*U5</f>
        <v>0</v>
      </c>
      <c r="AA5" s="131">
        <f>T5*U5</f>
        <v>0</v>
      </c>
      <c r="AB5" s="190">
        <f>Q5*V5</f>
        <v>0</v>
      </c>
      <c r="AC5" s="102">
        <f>R5*V5</f>
        <v>0</v>
      </c>
      <c r="AD5" s="102">
        <f>S5*V5</f>
        <v>0</v>
      </c>
      <c r="AE5" s="131">
        <f>T5*V5</f>
        <v>0</v>
      </c>
      <c r="AF5" s="190">
        <f>Q5*W5</f>
        <v>0</v>
      </c>
      <c r="AG5" s="102">
        <f>R5*W5</f>
        <v>0</v>
      </c>
      <c r="AH5" s="102">
        <f>S5*W5</f>
        <v>0</v>
      </c>
      <c r="AI5" s="131">
        <f>T5*W5</f>
        <v>0</v>
      </c>
      <c r="AK5" s="134" t="s">
        <v>416</v>
      </c>
      <c r="AL5" s="515" t="s">
        <v>3192</v>
      </c>
      <c r="AM5" s="134">
        <v>2025</v>
      </c>
      <c r="AO5" s="279" t="s">
        <v>669</v>
      </c>
      <c r="AP5" s="278">
        <v>5</v>
      </c>
      <c r="AQ5" s="278">
        <v>5</v>
      </c>
      <c r="AR5" s="278">
        <v>5</v>
      </c>
      <c r="AS5" s="278">
        <v>5</v>
      </c>
      <c r="AT5" s="278">
        <v>3</v>
      </c>
      <c r="AU5" s="278">
        <v>3</v>
      </c>
      <c r="AW5" s="134" t="s">
        <v>10</v>
      </c>
      <c r="AX5" s="134" t="s">
        <v>634</v>
      </c>
      <c r="AY5" s="134" t="s">
        <v>135</v>
      </c>
      <c r="AZ5" s="134" t="str">
        <f>AW5&amp;AX5&amp;AY5</f>
        <v>AlsaceAgrumesClémentinier</v>
      </c>
      <c r="BB5" s="563" t="s">
        <v>671</v>
      </c>
      <c r="BC5" s="36" t="s">
        <v>744</v>
      </c>
      <c r="BD5" s="36">
        <v>82</v>
      </c>
      <c r="BE5" s="36" t="s">
        <v>31</v>
      </c>
      <c r="BF5" s="36" t="s">
        <v>865</v>
      </c>
      <c r="BG5" s="36"/>
      <c r="BH5" s="36" t="s">
        <v>52</v>
      </c>
      <c r="BI5" s="36" t="s">
        <v>744</v>
      </c>
      <c r="BK5" s="59" t="s">
        <v>2498</v>
      </c>
      <c r="BL5" s="59" t="s">
        <v>2499</v>
      </c>
      <c r="BP5" s="325" t="str">
        <f>IF(Identification!F25="","N",Identification!F25)</f>
        <v>N</v>
      </c>
      <c r="BQ5" t="s">
        <v>2278</v>
      </c>
    </row>
    <row r="6" spans="2:69" x14ac:dyDescent="0.3">
      <c r="B6" s="67" t="s">
        <v>208</v>
      </c>
      <c r="C6" s="37" t="s">
        <v>206</v>
      </c>
      <c r="D6" s="37" t="s">
        <v>206</v>
      </c>
      <c r="E6" s="37" t="s">
        <v>207</v>
      </c>
      <c r="F6" s="37">
        <v>10</v>
      </c>
      <c r="G6" s="37">
        <v>2</v>
      </c>
      <c r="H6" s="37" t="s">
        <v>240</v>
      </c>
      <c r="J6" s="37" t="s">
        <v>229</v>
      </c>
      <c r="K6" s="37">
        <v>1</v>
      </c>
      <c r="L6" s="67">
        <v>4</v>
      </c>
      <c r="M6" s="67">
        <v>4.9999900000000004</v>
      </c>
      <c r="O6" s="1038"/>
      <c r="P6" t="s">
        <v>385</v>
      </c>
      <c r="Q6" s="102">
        <v>5</v>
      </c>
      <c r="R6" s="102">
        <v>50</v>
      </c>
      <c r="S6" s="102">
        <v>225</v>
      </c>
      <c r="T6" s="131">
        <v>1250</v>
      </c>
      <c r="U6" s="184">
        <f>Surfaces!O175</f>
        <v>0</v>
      </c>
      <c r="V6" s="185">
        <f>Surfaces!P175</f>
        <v>0</v>
      </c>
      <c r="W6" s="186">
        <f>Surfaces!Q175</f>
        <v>0</v>
      </c>
      <c r="X6" s="190">
        <f t="shared" ref="X6:X25" si="0">Q6*U6</f>
        <v>0</v>
      </c>
      <c r="Y6" s="102">
        <f t="shared" ref="Y6:Y25" si="1">R6*U6</f>
        <v>0</v>
      </c>
      <c r="Z6" s="102">
        <f t="shared" ref="Z6:Z25" si="2">S6*U6</f>
        <v>0</v>
      </c>
      <c r="AA6" s="131">
        <f t="shared" ref="AA6:AA25" si="3">T6*U6</f>
        <v>0</v>
      </c>
      <c r="AB6" s="190">
        <f t="shared" ref="AB6:AB25" si="4">Q6*V6</f>
        <v>0</v>
      </c>
      <c r="AC6" s="102">
        <f t="shared" ref="AC6:AC25" si="5">R6*V6</f>
        <v>0</v>
      </c>
      <c r="AD6" s="102">
        <f t="shared" ref="AD6:AD25" si="6">S6*V6</f>
        <v>0</v>
      </c>
      <c r="AE6" s="131">
        <f t="shared" ref="AE6:AE25" si="7">T6*V6</f>
        <v>0</v>
      </c>
      <c r="AF6" s="190">
        <f t="shared" ref="AF6:AF25" si="8">Q6*W6</f>
        <v>0</v>
      </c>
      <c r="AG6" s="102">
        <f t="shared" ref="AG6:AG25" si="9">R6*W6</f>
        <v>0</v>
      </c>
      <c r="AH6" s="102">
        <f t="shared" ref="AH6:AH25" si="10">S6*W6</f>
        <v>0</v>
      </c>
      <c r="AI6" s="131">
        <f t="shared" ref="AI6:AI25" si="11">T6*W6</f>
        <v>0</v>
      </c>
      <c r="AK6" s="134" t="s">
        <v>34</v>
      </c>
      <c r="AL6" s="134"/>
      <c r="AM6" s="134"/>
      <c r="AO6" s="280"/>
      <c r="AP6" s="280"/>
      <c r="AQ6" s="280"/>
      <c r="AR6" s="280"/>
      <c r="AS6" s="280"/>
      <c r="AT6" s="280"/>
      <c r="AU6" s="280"/>
      <c r="AW6" s="134" t="s">
        <v>10</v>
      </c>
      <c r="AX6" s="134" t="s">
        <v>170</v>
      </c>
      <c r="AY6" s="134" t="s">
        <v>162</v>
      </c>
      <c r="AZ6" s="134" t="str">
        <f>AW6&amp;AX6&amp;AY6</f>
        <v>AlsaceAutresPrunier</v>
      </c>
      <c r="BB6" s="563" t="s">
        <v>672</v>
      </c>
      <c r="BC6" s="36" t="s">
        <v>745</v>
      </c>
      <c r="BD6" s="36">
        <v>22</v>
      </c>
      <c r="BE6" s="36" t="s">
        <v>28</v>
      </c>
      <c r="BF6" s="36" t="s">
        <v>869</v>
      </c>
      <c r="BG6" s="36"/>
      <c r="BH6" s="36" t="s">
        <v>645</v>
      </c>
      <c r="BI6" s="36" t="s">
        <v>745</v>
      </c>
      <c r="BK6" s="299"/>
      <c r="BL6" s="299"/>
      <c r="BP6" t="str">
        <f>IF(cCampagneN="N","N-1",INT(LEFT(BP5,4)))</f>
        <v>N-1</v>
      </c>
    </row>
    <row r="7" spans="2:69" x14ac:dyDescent="0.3">
      <c r="B7" s="67" t="s">
        <v>209</v>
      </c>
      <c r="C7" s="37" t="s">
        <v>206</v>
      </c>
      <c r="D7" s="37" t="s">
        <v>206</v>
      </c>
      <c r="E7" s="37" t="s">
        <v>210</v>
      </c>
      <c r="F7" s="37">
        <v>30</v>
      </c>
      <c r="G7" s="37">
        <v>3</v>
      </c>
      <c r="H7" s="37" t="s">
        <v>240</v>
      </c>
      <c r="J7" s="37" t="s">
        <v>230</v>
      </c>
      <c r="K7" s="37">
        <v>2</v>
      </c>
      <c r="L7" s="67">
        <v>5</v>
      </c>
      <c r="M7" s="67">
        <v>5.9999900000000004</v>
      </c>
      <c r="O7" s="1038"/>
      <c r="P7" t="s">
        <v>392</v>
      </c>
      <c r="Q7" s="102">
        <v>45</v>
      </c>
      <c r="R7" s="102">
        <v>60</v>
      </c>
      <c r="S7" s="102">
        <v>200</v>
      </c>
      <c r="T7" s="131">
        <v>400</v>
      </c>
      <c r="U7" s="184">
        <f>Surfaces!O176</f>
        <v>0</v>
      </c>
      <c r="V7" s="185">
        <f>Surfaces!P176</f>
        <v>0</v>
      </c>
      <c r="W7" s="186">
        <f>Surfaces!Q176</f>
        <v>0</v>
      </c>
      <c r="X7" s="190">
        <f t="shared" si="0"/>
        <v>0</v>
      </c>
      <c r="Y7" s="102">
        <f t="shared" si="1"/>
        <v>0</v>
      </c>
      <c r="Z7" s="102">
        <f t="shared" si="2"/>
        <v>0</v>
      </c>
      <c r="AA7" s="131">
        <f t="shared" si="3"/>
        <v>0</v>
      </c>
      <c r="AB7" s="190">
        <f t="shared" si="4"/>
        <v>0</v>
      </c>
      <c r="AC7" s="102">
        <f t="shared" si="5"/>
        <v>0</v>
      </c>
      <c r="AD7" s="102">
        <f t="shared" si="6"/>
        <v>0</v>
      </c>
      <c r="AE7" s="131">
        <f t="shared" si="7"/>
        <v>0</v>
      </c>
      <c r="AF7" s="190">
        <f t="shared" si="8"/>
        <v>0</v>
      </c>
      <c r="AG7" s="102">
        <f t="shared" si="9"/>
        <v>0</v>
      </c>
      <c r="AH7" s="102">
        <f t="shared" si="10"/>
        <v>0</v>
      </c>
      <c r="AI7" s="131">
        <f t="shared" si="11"/>
        <v>0</v>
      </c>
      <c r="AK7" s="134" t="s">
        <v>304</v>
      </c>
      <c r="AL7" s="134"/>
      <c r="AM7" s="134"/>
      <c r="AO7" s="276" t="s">
        <v>2372</v>
      </c>
      <c r="AP7" s="277">
        <v>0</v>
      </c>
      <c r="AQ7" s="277">
        <v>0</v>
      </c>
      <c r="AR7" s="277">
        <v>0</v>
      </c>
      <c r="AS7" s="277">
        <v>0</v>
      </c>
      <c r="AT7" s="277">
        <v>0</v>
      </c>
      <c r="AU7" s="277">
        <v>0</v>
      </c>
      <c r="AW7" s="134" t="s">
        <v>10</v>
      </c>
      <c r="AX7" s="134" t="s">
        <v>132</v>
      </c>
      <c r="AY7" s="134" t="s">
        <v>132</v>
      </c>
      <c r="AZ7" s="134" t="str">
        <f t="shared" ref="AZ7:AZ69" si="12">AW7&amp;AX7&amp;AY7</f>
        <v>AlsaceCerisierCerisier</v>
      </c>
      <c r="BB7" s="563" t="s">
        <v>677</v>
      </c>
      <c r="BC7" s="36" t="s">
        <v>746</v>
      </c>
      <c r="BD7" s="36">
        <v>83</v>
      </c>
      <c r="BE7" s="36" t="s">
        <v>12</v>
      </c>
      <c r="BF7" s="36" t="s">
        <v>865</v>
      </c>
      <c r="BG7" s="36"/>
      <c r="BH7" s="36" t="s">
        <v>653</v>
      </c>
      <c r="BI7" s="36" t="s">
        <v>746</v>
      </c>
      <c r="BK7" s="299"/>
      <c r="BL7" s="299"/>
      <c r="BP7" t="str">
        <f>IF(cCampagneN="N","N-2",INT(RIGHT(BP5,2)))</f>
        <v>N-2</v>
      </c>
    </row>
    <row r="8" spans="2:69" x14ac:dyDescent="0.3">
      <c r="B8" s="67" t="s">
        <v>211</v>
      </c>
      <c r="C8" s="37" t="s">
        <v>206</v>
      </c>
      <c r="D8" s="37" t="s">
        <v>206</v>
      </c>
      <c r="E8" s="37" t="s">
        <v>2291</v>
      </c>
      <c r="F8" s="37">
        <v>1.5</v>
      </c>
      <c r="G8" s="37">
        <v>4</v>
      </c>
      <c r="H8" s="37" t="s">
        <v>240</v>
      </c>
      <c r="J8" s="37" t="s">
        <v>231</v>
      </c>
      <c r="K8" s="37">
        <v>3</v>
      </c>
      <c r="L8" s="67">
        <v>6</v>
      </c>
      <c r="M8" s="67">
        <v>6.9999900000000004</v>
      </c>
      <c r="O8" s="1038"/>
      <c r="P8" t="s">
        <v>393</v>
      </c>
      <c r="Q8" s="102">
        <v>5</v>
      </c>
      <c r="R8" s="102">
        <v>50</v>
      </c>
      <c r="S8" s="102">
        <v>225</v>
      </c>
      <c r="T8" s="131">
        <v>1250</v>
      </c>
      <c r="U8" s="184">
        <f>Surfaces!O177</f>
        <v>0</v>
      </c>
      <c r="V8" s="451">
        <f>Surfaces!P177</f>
        <v>0</v>
      </c>
      <c r="W8" s="452">
        <f>Surfaces!Q177</f>
        <v>0</v>
      </c>
      <c r="X8" s="190">
        <f t="shared" si="0"/>
        <v>0</v>
      </c>
      <c r="Y8" s="102">
        <f t="shared" si="1"/>
        <v>0</v>
      </c>
      <c r="Z8" s="102">
        <f t="shared" si="2"/>
        <v>0</v>
      </c>
      <c r="AA8" s="131">
        <f t="shared" si="3"/>
        <v>0</v>
      </c>
      <c r="AB8" s="190">
        <f t="shared" si="4"/>
        <v>0</v>
      </c>
      <c r="AC8" s="102">
        <f t="shared" si="5"/>
        <v>0</v>
      </c>
      <c r="AD8" s="102">
        <f t="shared" si="6"/>
        <v>0</v>
      </c>
      <c r="AE8" s="131">
        <f t="shared" si="7"/>
        <v>0</v>
      </c>
      <c r="AF8" s="190">
        <f t="shared" si="8"/>
        <v>0</v>
      </c>
      <c r="AG8" s="102">
        <f t="shared" si="9"/>
        <v>0</v>
      </c>
      <c r="AH8" s="102">
        <f t="shared" si="10"/>
        <v>0</v>
      </c>
      <c r="AI8" s="131">
        <f t="shared" si="11"/>
        <v>0</v>
      </c>
      <c r="AO8" s="276" t="s">
        <v>664</v>
      </c>
      <c r="AP8" s="277">
        <f t="shared" ref="AP8:AU8" si="13">AP$5*1/5</f>
        <v>1</v>
      </c>
      <c r="AQ8" s="277">
        <f t="shared" si="13"/>
        <v>1</v>
      </c>
      <c r="AR8" s="277">
        <f t="shared" si="13"/>
        <v>1</v>
      </c>
      <c r="AS8" s="277">
        <f t="shared" si="13"/>
        <v>1</v>
      </c>
      <c r="AT8" s="277">
        <f t="shared" si="13"/>
        <v>0.6</v>
      </c>
      <c r="AU8" s="277">
        <f t="shared" si="13"/>
        <v>0.6</v>
      </c>
      <c r="AW8" s="134" t="s">
        <v>10</v>
      </c>
      <c r="AX8" s="134" t="s">
        <v>145</v>
      </c>
      <c r="AY8" s="134" t="s">
        <v>145</v>
      </c>
      <c r="AZ8" s="134" t="str">
        <f t="shared" si="12"/>
        <v>AlsaceMirabellierMirabellier</v>
      </c>
      <c r="BB8" s="563" t="s">
        <v>673</v>
      </c>
      <c r="BC8" s="36" t="s">
        <v>747</v>
      </c>
      <c r="BD8" s="36">
        <v>93</v>
      </c>
      <c r="BE8" s="36" t="s">
        <v>30</v>
      </c>
      <c r="BF8" s="36" t="s">
        <v>30</v>
      </c>
      <c r="BG8" s="36"/>
      <c r="BH8" s="36" t="s">
        <v>649</v>
      </c>
      <c r="BI8" s="36" t="s">
        <v>747</v>
      </c>
      <c r="BK8" s="299"/>
      <c r="BL8" s="299"/>
      <c r="BP8" t="str">
        <f>IF(cCampagneN="N","N-1",BP6-1 &amp;"-"&amp;BP7-1)</f>
        <v>N-1</v>
      </c>
      <c r="BQ8" t="s">
        <v>2279</v>
      </c>
    </row>
    <row r="9" spans="2:69" x14ac:dyDescent="0.3">
      <c r="B9" s="67" t="s">
        <v>212</v>
      </c>
      <c r="C9" s="37" t="s">
        <v>206</v>
      </c>
      <c r="D9" s="37" t="s">
        <v>206</v>
      </c>
      <c r="E9" s="37" t="s">
        <v>2291</v>
      </c>
      <c r="F9" s="37">
        <v>1.5</v>
      </c>
      <c r="G9" s="37">
        <v>5</v>
      </c>
      <c r="H9" s="37" t="s">
        <v>241</v>
      </c>
      <c r="J9" s="37" t="s">
        <v>232</v>
      </c>
      <c r="K9" s="37">
        <v>4</v>
      </c>
      <c r="L9" s="67">
        <v>7</v>
      </c>
      <c r="M9" s="67">
        <v>7.9999900000000004</v>
      </c>
      <c r="O9" s="1038"/>
      <c r="P9" t="s">
        <v>386</v>
      </c>
      <c r="Q9" s="102">
        <v>8</v>
      </c>
      <c r="R9" s="102">
        <v>20</v>
      </c>
      <c r="S9" s="102">
        <v>200</v>
      </c>
      <c r="T9" s="131">
        <v>400</v>
      </c>
      <c r="U9" s="181">
        <f>Surfaces!O178</f>
        <v>0</v>
      </c>
      <c r="V9" s="182">
        <f>Surfaces!P178</f>
        <v>0</v>
      </c>
      <c r="W9" s="183">
        <f>Surfaces!Q178</f>
        <v>0</v>
      </c>
      <c r="X9" s="190">
        <f t="shared" si="0"/>
        <v>0</v>
      </c>
      <c r="Y9" s="102">
        <f t="shared" si="1"/>
        <v>0</v>
      </c>
      <c r="Z9" s="102">
        <f t="shared" si="2"/>
        <v>0</v>
      </c>
      <c r="AA9" s="131">
        <f t="shared" si="3"/>
        <v>0</v>
      </c>
      <c r="AB9" s="190">
        <f t="shared" si="4"/>
        <v>0</v>
      </c>
      <c r="AC9" s="102">
        <f t="shared" si="5"/>
        <v>0</v>
      </c>
      <c r="AD9" s="102">
        <f t="shared" si="6"/>
        <v>0</v>
      </c>
      <c r="AE9" s="131">
        <f t="shared" si="7"/>
        <v>0</v>
      </c>
      <c r="AF9" s="190">
        <f t="shared" si="8"/>
        <v>0</v>
      </c>
      <c r="AG9" s="102">
        <f t="shared" si="9"/>
        <v>0</v>
      </c>
      <c r="AH9" s="102">
        <f t="shared" si="10"/>
        <v>0</v>
      </c>
      <c r="AI9" s="131">
        <f t="shared" si="11"/>
        <v>0</v>
      </c>
      <c r="AK9" s="1040" t="s">
        <v>845</v>
      </c>
      <c r="AL9" s="1040"/>
      <c r="AM9" s="307">
        <v>2</v>
      </c>
      <c r="AO9" s="276" t="s">
        <v>665</v>
      </c>
      <c r="AP9" s="277">
        <f t="shared" ref="AP9:AU9" si="14">AP$5*2/5</f>
        <v>2</v>
      </c>
      <c r="AQ9" s="277">
        <f t="shared" si="14"/>
        <v>2</v>
      </c>
      <c r="AR9" s="277">
        <f t="shared" si="14"/>
        <v>2</v>
      </c>
      <c r="AS9" s="277">
        <f t="shared" si="14"/>
        <v>2</v>
      </c>
      <c r="AT9" s="277">
        <f t="shared" si="14"/>
        <v>1.2</v>
      </c>
      <c r="AU9" s="277">
        <f t="shared" si="14"/>
        <v>1.2</v>
      </c>
      <c r="AW9" s="134" t="s">
        <v>10</v>
      </c>
      <c r="AX9" s="134" t="s">
        <v>151</v>
      </c>
      <c r="AY9" s="134" t="s">
        <v>635</v>
      </c>
      <c r="AZ9" s="134" t="str">
        <f t="shared" si="12"/>
        <v>AlsaceNectarinierNectarinier-Pêcher</v>
      </c>
      <c r="BB9" s="563" t="s">
        <v>675</v>
      </c>
      <c r="BC9" s="36" t="s">
        <v>749</v>
      </c>
      <c r="BD9" s="36">
        <v>93</v>
      </c>
      <c r="BE9" s="36" t="s">
        <v>30</v>
      </c>
      <c r="BF9" s="36" t="s">
        <v>30</v>
      </c>
      <c r="BG9" s="36"/>
      <c r="BH9" s="36" t="s">
        <v>649</v>
      </c>
      <c r="BI9" s="36" t="s">
        <v>748</v>
      </c>
      <c r="BK9" s="299"/>
      <c r="BL9" s="299"/>
      <c r="BP9" t="str">
        <f>IF(cCampagneN="N","N-2",BP6-2 &amp;"-"&amp;BP7-2)</f>
        <v>N-2</v>
      </c>
      <c r="BQ9" t="s">
        <v>2280</v>
      </c>
    </row>
    <row r="10" spans="2:69" x14ac:dyDescent="0.3">
      <c r="B10" s="67" t="s">
        <v>213</v>
      </c>
      <c r="C10" s="37" t="s">
        <v>206</v>
      </c>
      <c r="D10" s="37" t="s">
        <v>206</v>
      </c>
      <c r="E10" s="37" t="s">
        <v>207</v>
      </c>
      <c r="F10" s="37">
        <v>10</v>
      </c>
      <c r="G10" s="37">
        <v>6</v>
      </c>
      <c r="H10" s="37" t="s">
        <v>241</v>
      </c>
      <c r="J10" s="37" t="s">
        <v>233</v>
      </c>
      <c r="K10" s="37">
        <v>5</v>
      </c>
      <c r="L10" s="67">
        <v>8</v>
      </c>
      <c r="M10" s="67">
        <v>8.9999900000000004</v>
      </c>
      <c r="O10" s="1038"/>
      <c r="P10" t="s">
        <v>394</v>
      </c>
      <c r="Q10" s="102">
        <v>15</v>
      </c>
      <c r="R10" s="102">
        <v>25</v>
      </c>
      <c r="S10" s="102">
        <v>175</v>
      </c>
      <c r="T10" s="131">
        <v>600</v>
      </c>
      <c r="U10" s="184">
        <f>Surfaces!O179</f>
        <v>0</v>
      </c>
      <c r="V10" s="185">
        <f>Surfaces!P179</f>
        <v>0</v>
      </c>
      <c r="W10" s="186">
        <f>Surfaces!Q179</f>
        <v>0</v>
      </c>
      <c r="X10" s="190">
        <f t="shared" si="0"/>
        <v>0</v>
      </c>
      <c r="Y10" s="102">
        <f t="shared" si="1"/>
        <v>0</v>
      </c>
      <c r="Z10" s="102">
        <f t="shared" si="2"/>
        <v>0</v>
      </c>
      <c r="AA10" s="131">
        <f t="shared" si="3"/>
        <v>0</v>
      </c>
      <c r="AB10" s="190">
        <f t="shared" si="4"/>
        <v>0</v>
      </c>
      <c r="AC10" s="102">
        <f t="shared" si="5"/>
        <v>0</v>
      </c>
      <c r="AD10" s="102">
        <f t="shared" si="6"/>
        <v>0</v>
      </c>
      <c r="AE10" s="131">
        <f t="shared" si="7"/>
        <v>0</v>
      </c>
      <c r="AF10" s="190">
        <f t="shared" si="8"/>
        <v>0</v>
      </c>
      <c r="AG10" s="102">
        <f t="shared" si="9"/>
        <v>0</v>
      </c>
      <c r="AH10" s="102">
        <f t="shared" si="10"/>
        <v>0</v>
      </c>
      <c r="AI10" s="131">
        <f t="shared" si="11"/>
        <v>0</v>
      </c>
      <c r="AK10" s="1041" t="s">
        <v>846</v>
      </c>
      <c r="AL10" s="1042"/>
      <c r="AM10" s="1043"/>
      <c r="AO10" s="276" t="s">
        <v>666</v>
      </c>
      <c r="AP10" s="277">
        <f t="shared" ref="AP10:AU10" si="15">AP$5*3/5</f>
        <v>3</v>
      </c>
      <c r="AQ10" s="277">
        <f t="shared" si="15"/>
        <v>3</v>
      </c>
      <c r="AR10" s="277">
        <f t="shared" si="15"/>
        <v>3</v>
      </c>
      <c r="AS10" s="277">
        <f t="shared" si="15"/>
        <v>3</v>
      </c>
      <c r="AT10" s="277">
        <f t="shared" si="15"/>
        <v>1.8</v>
      </c>
      <c r="AU10" s="277">
        <f t="shared" si="15"/>
        <v>1.8</v>
      </c>
      <c r="AW10" s="134" t="s">
        <v>10</v>
      </c>
      <c r="AX10" s="134" t="s">
        <v>154</v>
      </c>
      <c r="AY10" s="134" t="s">
        <v>154</v>
      </c>
      <c r="AZ10" s="134" t="str">
        <f t="shared" si="12"/>
        <v>AlsaceNoyerNoyer</v>
      </c>
      <c r="BB10" s="563" t="s">
        <v>750</v>
      </c>
      <c r="BC10" s="36" t="s">
        <v>751</v>
      </c>
      <c r="BD10" s="36">
        <v>82</v>
      </c>
      <c r="BE10" s="36" t="s">
        <v>31</v>
      </c>
      <c r="BF10" s="36" t="s">
        <v>865</v>
      </c>
      <c r="BG10" s="36"/>
      <c r="BH10" s="36" t="s">
        <v>649</v>
      </c>
      <c r="BI10" s="36" t="s">
        <v>749</v>
      </c>
      <c r="BK10" s="299"/>
      <c r="BL10" s="299"/>
    </row>
    <row r="11" spans="2:69" x14ac:dyDescent="0.3">
      <c r="B11" s="67" t="s">
        <v>214</v>
      </c>
      <c r="C11" s="37" t="s">
        <v>206</v>
      </c>
      <c r="D11" s="37" t="s">
        <v>206</v>
      </c>
      <c r="E11" s="37" t="s">
        <v>207</v>
      </c>
      <c r="F11" s="37">
        <v>1</v>
      </c>
      <c r="G11" s="37">
        <v>7</v>
      </c>
      <c r="H11" s="37" t="s">
        <v>242</v>
      </c>
      <c r="J11" s="37" t="s">
        <v>234</v>
      </c>
      <c r="K11" s="37">
        <v>6</v>
      </c>
      <c r="L11" s="67">
        <v>9</v>
      </c>
      <c r="M11" s="67">
        <v>9.9999900000000004</v>
      </c>
      <c r="O11" s="1038"/>
      <c r="P11" t="s">
        <v>387</v>
      </c>
      <c r="Q11" s="102">
        <v>20</v>
      </c>
      <c r="R11" s="102">
        <v>125</v>
      </c>
      <c r="S11" s="102">
        <v>800</v>
      </c>
      <c r="T11" s="131">
        <v>2000</v>
      </c>
      <c r="U11" s="184">
        <f>Surfaces!O180</f>
        <v>0</v>
      </c>
      <c r="V11" s="451">
        <f>Surfaces!P180</f>
        <v>0</v>
      </c>
      <c r="W11" s="452">
        <f>Surfaces!Q180</f>
        <v>0</v>
      </c>
      <c r="X11" s="190">
        <f t="shared" si="0"/>
        <v>0</v>
      </c>
      <c r="Y11" s="102">
        <f t="shared" si="1"/>
        <v>0</v>
      </c>
      <c r="Z11" s="102">
        <f t="shared" si="2"/>
        <v>0</v>
      </c>
      <c r="AA11" s="131">
        <f t="shared" si="3"/>
        <v>0</v>
      </c>
      <c r="AB11" s="190">
        <f t="shared" si="4"/>
        <v>0</v>
      </c>
      <c r="AC11" s="102">
        <f t="shared" si="5"/>
        <v>0</v>
      </c>
      <c r="AD11" s="102">
        <f t="shared" si="6"/>
        <v>0</v>
      </c>
      <c r="AE11" s="131">
        <f t="shared" si="7"/>
        <v>0</v>
      </c>
      <c r="AF11" s="190">
        <f t="shared" si="8"/>
        <v>0</v>
      </c>
      <c r="AG11" s="102">
        <f t="shared" si="9"/>
        <v>0</v>
      </c>
      <c r="AH11" s="102">
        <f t="shared" si="10"/>
        <v>0</v>
      </c>
      <c r="AI11" s="131">
        <f t="shared" si="11"/>
        <v>0</v>
      </c>
      <c r="AK11" s="1044" t="s">
        <v>847</v>
      </c>
      <c r="AL11" s="1045"/>
      <c r="AM11" s="1046"/>
      <c r="AO11" s="276" t="s">
        <v>667</v>
      </c>
      <c r="AP11" s="277">
        <f t="shared" ref="AP11:AU11" si="16">AP$5*4/5</f>
        <v>4</v>
      </c>
      <c r="AQ11" s="277">
        <f t="shared" si="16"/>
        <v>4</v>
      </c>
      <c r="AR11" s="277">
        <f t="shared" si="16"/>
        <v>4</v>
      </c>
      <c r="AS11" s="277">
        <f t="shared" si="16"/>
        <v>4</v>
      </c>
      <c r="AT11" s="277">
        <f t="shared" si="16"/>
        <v>2.4</v>
      </c>
      <c r="AU11" s="277">
        <f t="shared" si="16"/>
        <v>2.4</v>
      </c>
      <c r="AW11" s="134" t="s">
        <v>10</v>
      </c>
      <c r="AX11" s="134" t="s">
        <v>158</v>
      </c>
      <c r="AY11" s="134" t="s">
        <v>635</v>
      </c>
      <c r="AZ11" s="134" t="str">
        <f t="shared" si="12"/>
        <v>AlsacePêcherNectarinier-Pêcher</v>
      </c>
      <c r="BB11" s="563" t="s">
        <v>752</v>
      </c>
      <c r="BC11" s="36" t="s">
        <v>753</v>
      </c>
      <c r="BD11" s="36">
        <v>21</v>
      </c>
      <c r="BE11" s="36" t="s">
        <v>17</v>
      </c>
      <c r="BF11" s="36" t="s">
        <v>868</v>
      </c>
      <c r="BG11" s="36"/>
      <c r="BH11" s="36" t="s">
        <v>647</v>
      </c>
      <c r="BI11" s="36" t="s">
        <v>3078</v>
      </c>
      <c r="BK11" s="299"/>
      <c r="BL11" s="299"/>
    </row>
    <row r="12" spans="2:69" ht="15" thickBot="1" x14ac:dyDescent="0.35">
      <c r="B12" s="67" t="s">
        <v>215</v>
      </c>
      <c r="C12" s="37" t="s">
        <v>206</v>
      </c>
      <c r="D12" s="37" t="s">
        <v>206</v>
      </c>
      <c r="E12" s="37" t="s">
        <v>207</v>
      </c>
      <c r="F12" s="37">
        <v>9</v>
      </c>
      <c r="G12" s="37">
        <v>8</v>
      </c>
      <c r="H12" s="37" t="s">
        <v>243</v>
      </c>
      <c r="J12" s="37" t="s">
        <v>235</v>
      </c>
      <c r="K12" s="37">
        <v>7</v>
      </c>
      <c r="L12" s="67">
        <v>10</v>
      </c>
      <c r="M12" s="67">
        <v>9999999</v>
      </c>
      <c r="O12" s="1038"/>
      <c r="P12" s="165" t="s">
        <v>388</v>
      </c>
      <c r="Q12" s="166">
        <v>25</v>
      </c>
      <c r="R12" s="166">
        <v>60</v>
      </c>
      <c r="S12" s="166">
        <v>400</v>
      </c>
      <c r="T12" s="167">
        <v>900</v>
      </c>
      <c r="U12" s="361">
        <f>Surfaces!O181</f>
        <v>0</v>
      </c>
      <c r="V12" s="362">
        <f>Surfaces!P181</f>
        <v>0</v>
      </c>
      <c r="W12" s="363">
        <f>Surfaces!Q181</f>
        <v>0</v>
      </c>
      <c r="X12" s="192">
        <f t="shared" si="0"/>
        <v>0</v>
      </c>
      <c r="Y12" s="166">
        <f t="shared" si="1"/>
        <v>0</v>
      </c>
      <c r="Z12" s="166">
        <f t="shared" si="2"/>
        <v>0</v>
      </c>
      <c r="AA12" s="167">
        <f t="shared" si="3"/>
        <v>0</v>
      </c>
      <c r="AB12" s="192">
        <f t="shared" si="4"/>
        <v>0</v>
      </c>
      <c r="AC12" s="166">
        <f t="shared" si="5"/>
        <v>0</v>
      </c>
      <c r="AD12" s="166">
        <f t="shared" si="6"/>
        <v>0</v>
      </c>
      <c r="AE12" s="167">
        <f t="shared" si="7"/>
        <v>0</v>
      </c>
      <c r="AF12" s="192">
        <f t="shared" si="8"/>
        <v>0</v>
      </c>
      <c r="AG12" s="166">
        <f t="shared" si="9"/>
        <v>0</v>
      </c>
      <c r="AH12" s="166">
        <f t="shared" si="10"/>
        <v>0</v>
      </c>
      <c r="AI12" s="167">
        <f t="shared" si="11"/>
        <v>0</v>
      </c>
      <c r="AK12" s="1047" t="s">
        <v>848</v>
      </c>
      <c r="AL12" s="1048"/>
      <c r="AM12" s="1049"/>
      <c r="AO12" s="276" t="s">
        <v>2373</v>
      </c>
      <c r="AP12" s="277">
        <f t="shared" ref="AP12:AU12" si="17">AP$5*5/5</f>
        <v>5</v>
      </c>
      <c r="AQ12" s="277">
        <f t="shared" si="17"/>
        <v>5</v>
      </c>
      <c r="AR12" s="277">
        <f t="shared" si="17"/>
        <v>5</v>
      </c>
      <c r="AS12" s="277">
        <f t="shared" si="17"/>
        <v>5</v>
      </c>
      <c r="AT12" s="277">
        <f t="shared" si="17"/>
        <v>3</v>
      </c>
      <c r="AU12" s="277">
        <f t="shared" si="17"/>
        <v>3</v>
      </c>
      <c r="AW12" s="134" t="s">
        <v>10</v>
      </c>
      <c r="AX12" s="134" t="s">
        <v>159</v>
      </c>
      <c r="AY12" s="134" t="s">
        <v>159</v>
      </c>
      <c r="AZ12" s="134" t="str">
        <f t="shared" si="12"/>
        <v>AlsacePoirierPoirier</v>
      </c>
      <c r="BB12" s="563" t="s">
        <v>676</v>
      </c>
      <c r="BC12" s="36" t="s">
        <v>754</v>
      </c>
      <c r="BD12" s="36">
        <v>73</v>
      </c>
      <c r="BE12" s="36" t="s">
        <v>25</v>
      </c>
      <c r="BF12" s="36" t="s">
        <v>872</v>
      </c>
      <c r="BG12" s="36"/>
      <c r="BH12" s="36" t="s">
        <v>648</v>
      </c>
      <c r="BI12" s="36" t="s">
        <v>3091</v>
      </c>
      <c r="BK12" s="299"/>
      <c r="BL12" s="299"/>
    </row>
    <row r="13" spans="2:69" ht="15" customHeight="1" thickTop="1" x14ac:dyDescent="0.3">
      <c r="B13" s="67" t="s">
        <v>216</v>
      </c>
      <c r="C13" s="37"/>
      <c r="D13" s="37" t="s">
        <v>206</v>
      </c>
      <c r="E13" s="37" t="s">
        <v>207</v>
      </c>
      <c r="F13" s="37">
        <v>9</v>
      </c>
      <c r="G13" s="37">
        <v>9</v>
      </c>
      <c r="H13" s="37" t="s">
        <v>243</v>
      </c>
      <c r="O13" s="1039" t="s">
        <v>400</v>
      </c>
      <c r="P13" t="s">
        <v>397</v>
      </c>
      <c r="Q13" s="102">
        <v>5</v>
      </c>
      <c r="R13" s="102">
        <v>25</v>
      </c>
      <c r="S13" s="102">
        <v>200</v>
      </c>
      <c r="T13" s="131">
        <v>500</v>
      </c>
      <c r="U13" s="181">
        <f>Surfaces!O183</f>
        <v>0</v>
      </c>
      <c r="V13" s="182">
        <f>Surfaces!P183</f>
        <v>0</v>
      </c>
      <c r="W13" s="183">
        <f>Surfaces!Q183</f>
        <v>0</v>
      </c>
      <c r="X13" s="190">
        <f t="shared" si="0"/>
        <v>0</v>
      </c>
      <c r="Y13" s="102">
        <f t="shared" si="1"/>
        <v>0</v>
      </c>
      <c r="Z13" s="102">
        <f t="shared" si="2"/>
        <v>0</v>
      </c>
      <c r="AA13" s="131">
        <f t="shared" si="3"/>
        <v>0</v>
      </c>
      <c r="AB13" s="190">
        <f t="shared" si="4"/>
        <v>0</v>
      </c>
      <c r="AC13" s="102">
        <f t="shared" si="5"/>
        <v>0</v>
      </c>
      <c r="AD13" s="102">
        <f t="shared" si="6"/>
        <v>0</v>
      </c>
      <c r="AE13" s="131">
        <f t="shared" si="7"/>
        <v>0</v>
      </c>
      <c r="AF13" s="190">
        <f t="shared" si="8"/>
        <v>0</v>
      </c>
      <c r="AG13" s="102">
        <f t="shared" si="9"/>
        <v>0</v>
      </c>
      <c r="AH13" s="102">
        <f t="shared" si="10"/>
        <v>0</v>
      </c>
      <c r="AI13" s="131">
        <f t="shared" si="11"/>
        <v>0</v>
      </c>
      <c r="AW13" s="134" t="s">
        <v>10</v>
      </c>
      <c r="AX13" s="134" t="s">
        <v>161</v>
      </c>
      <c r="AY13" s="134" t="s">
        <v>161</v>
      </c>
      <c r="AZ13" s="134" t="str">
        <f t="shared" si="12"/>
        <v>AlsacePommierPommier</v>
      </c>
      <c r="BB13" s="563" t="s">
        <v>3246</v>
      </c>
      <c r="BC13" s="36" t="s">
        <v>755</v>
      </c>
      <c r="BD13" s="36">
        <v>21</v>
      </c>
      <c r="BE13" s="36" t="s">
        <v>17</v>
      </c>
      <c r="BF13" s="36" t="s">
        <v>868</v>
      </c>
      <c r="BG13" s="36"/>
      <c r="BH13" s="36" t="s">
        <v>654</v>
      </c>
      <c r="BI13" s="36" t="s">
        <v>753</v>
      </c>
      <c r="BK13" s="299"/>
      <c r="BL13" s="299"/>
    </row>
    <row r="14" spans="2:69" x14ac:dyDescent="0.3">
      <c r="B14" s="67" t="s">
        <v>217</v>
      </c>
      <c r="C14" s="37" t="s">
        <v>206</v>
      </c>
      <c r="D14" s="37" t="s">
        <v>206</v>
      </c>
      <c r="E14" s="37" t="s">
        <v>2291</v>
      </c>
      <c r="F14" s="37">
        <v>1</v>
      </c>
      <c r="G14" s="37">
        <v>10</v>
      </c>
      <c r="H14" s="37" t="s">
        <v>243</v>
      </c>
      <c r="O14" s="1039"/>
      <c r="P14" t="s">
        <v>398</v>
      </c>
      <c r="Q14" s="102">
        <v>8</v>
      </c>
      <c r="R14" s="102">
        <v>20</v>
      </c>
      <c r="S14" s="102">
        <v>100</v>
      </c>
      <c r="T14" s="131">
        <v>250</v>
      </c>
      <c r="U14" s="184">
        <f>Surfaces!O184</f>
        <v>0</v>
      </c>
      <c r="V14" s="185">
        <f>Surfaces!P184</f>
        <v>0</v>
      </c>
      <c r="W14" s="186">
        <f>Surfaces!Q184</f>
        <v>0</v>
      </c>
      <c r="X14" s="190">
        <f t="shared" si="0"/>
        <v>0</v>
      </c>
      <c r="Y14" s="102">
        <f t="shared" si="1"/>
        <v>0</v>
      </c>
      <c r="Z14" s="102">
        <f t="shared" si="2"/>
        <v>0</v>
      </c>
      <c r="AA14" s="131">
        <f t="shared" si="3"/>
        <v>0</v>
      </c>
      <c r="AB14" s="190">
        <f t="shared" si="4"/>
        <v>0</v>
      </c>
      <c r="AC14" s="102">
        <f t="shared" si="5"/>
        <v>0</v>
      </c>
      <c r="AD14" s="102">
        <f t="shared" si="6"/>
        <v>0</v>
      </c>
      <c r="AE14" s="131">
        <f t="shared" si="7"/>
        <v>0</v>
      </c>
      <c r="AF14" s="190">
        <f t="shared" si="8"/>
        <v>0</v>
      </c>
      <c r="AG14" s="102">
        <f t="shared" si="9"/>
        <v>0</v>
      </c>
      <c r="AH14" s="102">
        <f t="shared" si="10"/>
        <v>0</v>
      </c>
      <c r="AI14" s="131">
        <f t="shared" si="11"/>
        <v>0</v>
      </c>
      <c r="AW14" s="134" t="s">
        <v>10</v>
      </c>
      <c r="AX14" s="134" t="s">
        <v>162</v>
      </c>
      <c r="AY14" s="134" t="s">
        <v>162</v>
      </c>
      <c r="AZ14" s="134" t="str">
        <f t="shared" si="12"/>
        <v>AlsacePrunierPrunier</v>
      </c>
      <c r="BB14" s="563" t="s">
        <v>3247</v>
      </c>
      <c r="BC14" s="36" t="s">
        <v>756</v>
      </c>
      <c r="BD14" s="36">
        <v>91</v>
      </c>
      <c r="BE14" s="36" t="s">
        <v>22</v>
      </c>
      <c r="BF14" s="36" t="s">
        <v>872</v>
      </c>
      <c r="BG14" s="36"/>
      <c r="BH14" s="36" t="s">
        <v>651</v>
      </c>
      <c r="BI14" s="36" t="s">
        <v>754</v>
      </c>
      <c r="BK14" s="299"/>
      <c r="BL14" s="299"/>
    </row>
    <row r="15" spans="2:69" x14ac:dyDescent="0.3">
      <c r="B15" s="67" t="s">
        <v>218</v>
      </c>
      <c r="C15" s="37" t="s">
        <v>206</v>
      </c>
      <c r="D15" s="37" t="s">
        <v>206</v>
      </c>
      <c r="E15" s="37" t="s">
        <v>2291</v>
      </c>
      <c r="F15" s="37">
        <v>1.5</v>
      </c>
      <c r="G15" s="37">
        <v>11</v>
      </c>
      <c r="H15" s="37" t="s">
        <v>243</v>
      </c>
      <c r="O15" s="1039"/>
      <c r="P15" t="s">
        <v>399</v>
      </c>
      <c r="Q15" s="102">
        <v>10</v>
      </c>
      <c r="R15" s="102">
        <v>25</v>
      </c>
      <c r="S15" s="102">
        <v>175</v>
      </c>
      <c r="T15" s="131">
        <v>325</v>
      </c>
      <c r="U15" s="184">
        <f>Surfaces!O185</f>
        <v>0</v>
      </c>
      <c r="V15" s="185">
        <f>Surfaces!P185</f>
        <v>0</v>
      </c>
      <c r="W15" s="186">
        <f>Surfaces!Q185</f>
        <v>0</v>
      </c>
      <c r="X15" s="190">
        <f t="shared" si="0"/>
        <v>0</v>
      </c>
      <c r="Y15" s="102">
        <f t="shared" si="1"/>
        <v>0</v>
      </c>
      <c r="Z15" s="102">
        <f t="shared" si="2"/>
        <v>0</v>
      </c>
      <c r="AA15" s="131">
        <f t="shared" si="3"/>
        <v>0</v>
      </c>
      <c r="AB15" s="190">
        <f t="shared" si="4"/>
        <v>0</v>
      </c>
      <c r="AC15" s="102">
        <f t="shared" si="5"/>
        <v>0</v>
      </c>
      <c r="AD15" s="102">
        <f t="shared" si="6"/>
        <v>0</v>
      </c>
      <c r="AE15" s="131">
        <f t="shared" si="7"/>
        <v>0</v>
      </c>
      <c r="AF15" s="190">
        <f t="shared" si="8"/>
        <v>0</v>
      </c>
      <c r="AG15" s="102">
        <f t="shared" si="9"/>
        <v>0</v>
      </c>
      <c r="AH15" s="102">
        <f t="shared" si="10"/>
        <v>0</v>
      </c>
      <c r="AI15" s="131">
        <f t="shared" si="11"/>
        <v>0</v>
      </c>
      <c r="AW15" s="134" t="s">
        <v>11</v>
      </c>
      <c r="AX15" s="134" t="s">
        <v>127</v>
      </c>
      <c r="AY15" s="134" t="s">
        <v>127</v>
      </c>
      <c r="AZ15" s="134" t="str">
        <f t="shared" si="12"/>
        <v>AquitaineAbricotierAbricotier</v>
      </c>
      <c r="BB15" s="563" t="s">
        <v>3248</v>
      </c>
      <c r="BC15" s="36" t="s">
        <v>757</v>
      </c>
      <c r="BD15" s="36">
        <v>73</v>
      </c>
      <c r="BE15" s="36" t="s">
        <v>25</v>
      </c>
      <c r="BF15" s="36" t="s">
        <v>872</v>
      </c>
      <c r="BG15" s="36"/>
      <c r="BH15" s="36" t="s">
        <v>54</v>
      </c>
      <c r="BI15" s="36" t="s">
        <v>755</v>
      </c>
      <c r="BK15" s="299"/>
      <c r="BL15" s="299"/>
    </row>
    <row r="16" spans="2:69" x14ac:dyDescent="0.3">
      <c r="B16" s="67" t="s">
        <v>219</v>
      </c>
      <c r="C16" s="37"/>
      <c r="D16" s="37" t="s">
        <v>206</v>
      </c>
      <c r="E16" s="37" t="s">
        <v>2291</v>
      </c>
      <c r="F16" s="37">
        <v>2</v>
      </c>
      <c r="G16" s="37">
        <v>12</v>
      </c>
      <c r="H16" s="37" t="s">
        <v>241</v>
      </c>
      <c r="O16" s="1039"/>
      <c r="P16" t="s">
        <v>385</v>
      </c>
      <c r="Q16" s="102">
        <v>5</v>
      </c>
      <c r="R16" s="102">
        <v>20</v>
      </c>
      <c r="S16" s="102">
        <v>150</v>
      </c>
      <c r="T16" s="131">
        <v>400</v>
      </c>
      <c r="U16" s="184">
        <f>Surfaces!O186</f>
        <v>0</v>
      </c>
      <c r="V16" s="185">
        <f>Surfaces!P186</f>
        <v>0</v>
      </c>
      <c r="W16" s="186">
        <f>Surfaces!Q186</f>
        <v>0</v>
      </c>
      <c r="X16" s="190">
        <f t="shared" si="0"/>
        <v>0</v>
      </c>
      <c r="Y16" s="102">
        <f t="shared" si="1"/>
        <v>0</v>
      </c>
      <c r="Z16" s="102">
        <f t="shared" si="2"/>
        <v>0</v>
      </c>
      <c r="AA16" s="131">
        <f t="shared" si="3"/>
        <v>0</v>
      </c>
      <c r="AB16" s="190">
        <f t="shared" si="4"/>
        <v>0</v>
      </c>
      <c r="AC16" s="102">
        <f t="shared" si="5"/>
        <v>0</v>
      </c>
      <c r="AD16" s="102">
        <f t="shared" si="6"/>
        <v>0</v>
      </c>
      <c r="AE16" s="131">
        <f t="shared" si="7"/>
        <v>0</v>
      </c>
      <c r="AF16" s="190">
        <f t="shared" si="8"/>
        <v>0</v>
      </c>
      <c r="AG16" s="102">
        <f t="shared" si="9"/>
        <v>0</v>
      </c>
      <c r="AH16" s="102">
        <f t="shared" si="10"/>
        <v>0</v>
      </c>
      <c r="AI16" s="131">
        <f t="shared" si="11"/>
        <v>0</v>
      </c>
      <c r="AW16" s="134" t="s">
        <v>11</v>
      </c>
      <c r="AX16" s="134" t="s">
        <v>634</v>
      </c>
      <c r="AY16" s="134" t="s">
        <v>135</v>
      </c>
      <c r="AZ16" s="134" t="str">
        <f t="shared" si="12"/>
        <v>AquitaineAgrumesClémentinier</v>
      </c>
      <c r="BB16" s="563" t="s">
        <v>3249</v>
      </c>
      <c r="BC16" s="36" t="s">
        <v>804</v>
      </c>
      <c r="BD16" s="36">
        <v>42</v>
      </c>
      <c r="BE16" s="36" t="s">
        <v>10</v>
      </c>
      <c r="BF16" s="36" t="s">
        <v>868</v>
      </c>
      <c r="BG16" s="36"/>
      <c r="BH16" s="36" t="s">
        <v>22</v>
      </c>
      <c r="BI16" s="36" t="s">
        <v>756</v>
      </c>
      <c r="BK16" s="299"/>
      <c r="BL16" s="299"/>
    </row>
    <row r="17" spans="2:64" x14ac:dyDescent="0.3">
      <c r="B17" s="67" t="s">
        <v>220</v>
      </c>
      <c r="C17" s="37"/>
      <c r="D17" s="37" t="s">
        <v>206</v>
      </c>
      <c r="E17" s="37" t="s">
        <v>2291</v>
      </c>
      <c r="F17" s="37">
        <v>3</v>
      </c>
      <c r="G17" s="37">
        <v>13</v>
      </c>
      <c r="H17" s="37" t="s">
        <v>240</v>
      </c>
      <c r="O17" s="1039"/>
      <c r="P17" t="s">
        <v>401</v>
      </c>
      <c r="Q17" s="102">
        <v>9</v>
      </c>
      <c r="R17" s="102">
        <v>30</v>
      </c>
      <c r="S17" s="102">
        <v>75</v>
      </c>
      <c r="T17" s="131">
        <v>200</v>
      </c>
      <c r="U17" s="184">
        <f>Surfaces!O187</f>
        <v>0</v>
      </c>
      <c r="V17" s="185">
        <f>Surfaces!P187</f>
        <v>0</v>
      </c>
      <c r="W17" s="186">
        <f>Surfaces!Q187</f>
        <v>0</v>
      </c>
      <c r="X17" s="190">
        <f t="shared" si="0"/>
        <v>0</v>
      </c>
      <c r="Y17" s="102">
        <f t="shared" si="1"/>
        <v>0</v>
      </c>
      <c r="Z17" s="102">
        <f t="shared" si="2"/>
        <v>0</v>
      </c>
      <c r="AA17" s="131">
        <f t="shared" si="3"/>
        <v>0</v>
      </c>
      <c r="AB17" s="190">
        <f t="shared" si="4"/>
        <v>0</v>
      </c>
      <c r="AC17" s="102">
        <f t="shared" si="5"/>
        <v>0</v>
      </c>
      <c r="AD17" s="102">
        <f t="shared" si="6"/>
        <v>0</v>
      </c>
      <c r="AE17" s="131">
        <f t="shared" si="7"/>
        <v>0</v>
      </c>
      <c r="AF17" s="190">
        <f t="shared" si="8"/>
        <v>0</v>
      </c>
      <c r="AG17" s="102">
        <f t="shared" si="9"/>
        <v>0</v>
      </c>
      <c r="AH17" s="102">
        <f t="shared" si="10"/>
        <v>0</v>
      </c>
      <c r="AI17" s="131">
        <f t="shared" si="11"/>
        <v>0</v>
      </c>
      <c r="AW17" s="134" t="s">
        <v>11</v>
      </c>
      <c r="AX17" s="134" t="s">
        <v>170</v>
      </c>
      <c r="AY17" s="134" t="s">
        <v>162</v>
      </c>
      <c r="AZ17" s="134" t="str">
        <f t="shared" si="12"/>
        <v>AquitaineAutresPrunier</v>
      </c>
      <c r="BB17" s="563" t="s">
        <v>3250</v>
      </c>
      <c r="BC17" s="36" t="s">
        <v>60</v>
      </c>
      <c r="BD17" s="36">
        <v>93</v>
      </c>
      <c r="BE17" s="36" t="s">
        <v>30</v>
      </c>
      <c r="BF17" s="36" t="s">
        <v>30</v>
      </c>
      <c r="BG17" s="36"/>
      <c r="BH17" s="36" t="s">
        <v>651</v>
      </c>
      <c r="BI17" s="36" t="s">
        <v>757</v>
      </c>
      <c r="BK17" s="299"/>
      <c r="BL17" s="299"/>
    </row>
    <row r="18" spans="2:64" x14ac:dyDescent="0.3">
      <c r="B18" s="67" t="s">
        <v>221</v>
      </c>
      <c r="C18" s="37"/>
      <c r="D18" s="37" t="s">
        <v>206</v>
      </c>
      <c r="E18" s="37" t="s">
        <v>207</v>
      </c>
      <c r="F18" s="37">
        <v>9</v>
      </c>
      <c r="G18" s="37">
        <v>14</v>
      </c>
      <c r="H18" s="37" t="s">
        <v>243</v>
      </c>
      <c r="O18" s="1039"/>
      <c r="P18" t="s">
        <v>2770</v>
      </c>
      <c r="Q18" s="102">
        <v>9</v>
      </c>
      <c r="R18" s="102">
        <v>30</v>
      </c>
      <c r="S18" s="102">
        <v>75</v>
      </c>
      <c r="T18" s="131">
        <v>200</v>
      </c>
      <c r="U18" s="184">
        <f>Surfaces!O188</f>
        <v>0</v>
      </c>
      <c r="V18" s="185">
        <f>Surfaces!P188</f>
        <v>0</v>
      </c>
      <c r="W18" s="186">
        <f>Surfaces!Q188</f>
        <v>0</v>
      </c>
      <c r="X18" s="190">
        <f t="shared" si="0"/>
        <v>0</v>
      </c>
      <c r="Y18" s="102">
        <f t="shared" si="1"/>
        <v>0</v>
      </c>
      <c r="Z18" s="102">
        <f t="shared" si="2"/>
        <v>0</v>
      </c>
      <c r="AA18" s="131">
        <f t="shared" si="3"/>
        <v>0</v>
      </c>
      <c r="AB18" s="190">
        <f t="shared" si="4"/>
        <v>0</v>
      </c>
      <c r="AC18" s="102">
        <f t="shared" si="5"/>
        <v>0</v>
      </c>
      <c r="AD18" s="102">
        <f t="shared" si="6"/>
        <v>0</v>
      </c>
      <c r="AE18" s="131">
        <f t="shared" si="7"/>
        <v>0</v>
      </c>
      <c r="AF18" s="190">
        <f t="shared" si="8"/>
        <v>0</v>
      </c>
      <c r="AG18" s="102">
        <f t="shared" si="9"/>
        <v>0</v>
      </c>
      <c r="AH18" s="102">
        <f t="shared" si="10"/>
        <v>0</v>
      </c>
      <c r="AI18" s="131">
        <f t="shared" si="11"/>
        <v>0</v>
      </c>
      <c r="AW18" s="134" t="s">
        <v>11</v>
      </c>
      <c r="AX18" s="134" t="s">
        <v>132</v>
      </c>
      <c r="AY18" s="134" t="s">
        <v>132</v>
      </c>
      <c r="AZ18" s="134" t="str">
        <f t="shared" si="12"/>
        <v>AquitaineCerisierCerisier</v>
      </c>
      <c r="BB18" s="563" t="s">
        <v>3251</v>
      </c>
      <c r="BC18" s="36" t="s">
        <v>758</v>
      </c>
      <c r="BD18" s="36">
        <v>25</v>
      </c>
      <c r="BE18" s="36" t="s">
        <v>13</v>
      </c>
      <c r="BF18" s="36" t="s">
        <v>870</v>
      </c>
      <c r="BG18" s="36"/>
      <c r="BH18" s="36" t="s">
        <v>60</v>
      </c>
      <c r="BI18" s="36" t="s">
        <v>60</v>
      </c>
      <c r="BK18" s="299"/>
      <c r="BL18" s="299"/>
    </row>
    <row r="19" spans="2:64" x14ac:dyDescent="0.3">
      <c r="B19" s="67" t="s">
        <v>222</v>
      </c>
      <c r="C19" s="37"/>
      <c r="D19" s="37" t="s">
        <v>206</v>
      </c>
      <c r="E19" s="37" t="s">
        <v>2291</v>
      </c>
      <c r="F19" s="37">
        <v>1.5</v>
      </c>
      <c r="G19" s="37">
        <v>15</v>
      </c>
      <c r="H19" s="37" t="s">
        <v>243</v>
      </c>
      <c r="O19" s="1039"/>
      <c r="P19" t="s">
        <v>402</v>
      </c>
      <c r="Q19" s="102">
        <v>10</v>
      </c>
      <c r="R19" s="102">
        <v>45</v>
      </c>
      <c r="S19" s="102">
        <v>200</v>
      </c>
      <c r="T19" s="131">
        <v>700</v>
      </c>
      <c r="U19" s="184">
        <f>Surfaces!O189</f>
        <v>0</v>
      </c>
      <c r="V19" s="185">
        <f>Surfaces!P189</f>
        <v>0</v>
      </c>
      <c r="W19" s="186">
        <f>Surfaces!Q189</f>
        <v>0</v>
      </c>
      <c r="X19" s="190">
        <f t="shared" si="0"/>
        <v>0</v>
      </c>
      <c r="Y19" s="102">
        <f t="shared" si="1"/>
        <v>0</v>
      </c>
      <c r="Z19" s="102">
        <f t="shared" si="2"/>
        <v>0</v>
      </c>
      <c r="AA19" s="131">
        <f t="shared" si="3"/>
        <v>0</v>
      </c>
      <c r="AB19" s="190">
        <f t="shared" si="4"/>
        <v>0</v>
      </c>
      <c r="AC19" s="102">
        <f t="shared" si="5"/>
        <v>0</v>
      </c>
      <c r="AD19" s="102">
        <f t="shared" si="6"/>
        <v>0</v>
      </c>
      <c r="AE19" s="131">
        <f t="shared" si="7"/>
        <v>0</v>
      </c>
      <c r="AF19" s="190">
        <f t="shared" si="8"/>
        <v>0</v>
      </c>
      <c r="AG19" s="102">
        <f t="shared" si="9"/>
        <v>0</v>
      </c>
      <c r="AH19" s="102">
        <f t="shared" si="10"/>
        <v>0</v>
      </c>
      <c r="AI19" s="131">
        <f t="shared" si="11"/>
        <v>0</v>
      </c>
      <c r="AW19" s="134" t="s">
        <v>11</v>
      </c>
      <c r="AX19" s="134" t="s">
        <v>145</v>
      </c>
      <c r="AY19" s="134" t="s">
        <v>145</v>
      </c>
      <c r="AZ19" s="134" t="str">
        <f t="shared" si="12"/>
        <v>AquitaineMirabellierMirabellier</v>
      </c>
      <c r="BB19" s="563" t="s">
        <v>3252</v>
      </c>
      <c r="BC19" s="36" t="s">
        <v>759</v>
      </c>
      <c r="BD19" s="36">
        <v>83</v>
      </c>
      <c r="BE19" s="36" t="s">
        <v>12</v>
      </c>
      <c r="BF19" s="36" t="s">
        <v>865</v>
      </c>
      <c r="BG19" s="36"/>
      <c r="BH19" s="36" t="s">
        <v>654</v>
      </c>
      <c r="BI19" s="36" t="s">
        <v>758</v>
      </c>
      <c r="BK19" s="299"/>
      <c r="BL19" s="299"/>
    </row>
    <row r="20" spans="2:64" x14ac:dyDescent="0.3">
      <c r="B20" s="67" t="s">
        <v>223</v>
      </c>
      <c r="C20" s="37"/>
      <c r="D20" s="37" t="s">
        <v>206</v>
      </c>
      <c r="E20" s="37" t="s">
        <v>207</v>
      </c>
      <c r="F20" s="37">
        <v>9</v>
      </c>
      <c r="G20" s="37">
        <v>16</v>
      </c>
      <c r="H20" s="37" t="s">
        <v>243</v>
      </c>
      <c r="O20" s="1039"/>
      <c r="P20" t="s">
        <v>403</v>
      </c>
      <c r="Q20" s="102">
        <v>3</v>
      </c>
      <c r="R20" s="102">
        <v>15</v>
      </c>
      <c r="S20" s="102">
        <v>30</v>
      </c>
      <c r="T20" s="131">
        <v>150</v>
      </c>
      <c r="U20" s="184">
        <f>Surfaces!O190</f>
        <v>0</v>
      </c>
      <c r="V20" s="185">
        <f>Surfaces!P190</f>
        <v>0</v>
      </c>
      <c r="W20" s="186">
        <f>Surfaces!Q190</f>
        <v>0</v>
      </c>
      <c r="X20" s="190">
        <f t="shared" si="0"/>
        <v>0</v>
      </c>
      <c r="Y20" s="102">
        <f t="shared" si="1"/>
        <v>0</v>
      </c>
      <c r="Z20" s="102">
        <f t="shared" si="2"/>
        <v>0</v>
      </c>
      <c r="AA20" s="131">
        <f t="shared" si="3"/>
        <v>0</v>
      </c>
      <c r="AB20" s="190">
        <f t="shared" si="4"/>
        <v>0</v>
      </c>
      <c r="AC20" s="102">
        <f t="shared" si="5"/>
        <v>0</v>
      </c>
      <c r="AD20" s="102">
        <f t="shared" si="6"/>
        <v>0</v>
      </c>
      <c r="AE20" s="131">
        <f t="shared" si="7"/>
        <v>0</v>
      </c>
      <c r="AF20" s="190">
        <f t="shared" si="8"/>
        <v>0</v>
      </c>
      <c r="AG20" s="102">
        <f t="shared" si="9"/>
        <v>0</v>
      </c>
      <c r="AH20" s="102">
        <f t="shared" si="10"/>
        <v>0</v>
      </c>
      <c r="AI20" s="131">
        <f t="shared" si="11"/>
        <v>0</v>
      </c>
      <c r="AW20" s="134" t="s">
        <v>11</v>
      </c>
      <c r="AX20" s="134" t="s">
        <v>151</v>
      </c>
      <c r="AY20" s="134" t="s">
        <v>635</v>
      </c>
      <c r="AZ20" s="134" t="str">
        <f t="shared" si="12"/>
        <v>AquitaineNectarinierNectarinier-Pêcher</v>
      </c>
      <c r="BB20" s="563" t="s">
        <v>3253</v>
      </c>
      <c r="BC20" s="36" t="s">
        <v>760</v>
      </c>
      <c r="BD20" s="36">
        <v>54</v>
      </c>
      <c r="BE20" s="36" t="s">
        <v>29</v>
      </c>
      <c r="BF20" s="36" t="s">
        <v>871</v>
      </c>
      <c r="BG20" s="36"/>
      <c r="BH20" s="36" t="s">
        <v>654</v>
      </c>
      <c r="BI20" s="36" t="s">
        <v>759</v>
      </c>
    </row>
    <row r="21" spans="2:64" x14ac:dyDescent="0.3">
      <c r="B21" s="333" t="s">
        <v>224</v>
      </c>
      <c r="C21" s="335"/>
      <c r="D21" s="37" t="s">
        <v>206</v>
      </c>
      <c r="E21" s="37" t="s">
        <v>2291</v>
      </c>
      <c r="F21" s="37">
        <v>1</v>
      </c>
      <c r="G21" s="37">
        <v>17</v>
      </c>
      <c r="H21" s="37" t="s">
        <v>243</v>
      </c>
      <c r="O21" s="1039"/>
      <c r="P21" t="s">
        <v>404</v>
      </c>
      <c r="Q21" s="102">
        <v>5</v>
      </c>
      <c r="R21" s="102">
        <v>20</v>
      </c>
      <c r="S21" s="102">
        <v>75</v>
      </c>
      <c r="T21" s="131">
        <v>200</v>
      </c>
      <c r="U21" s="184">
        <f>Surfaces!O191</f>
        <v>0</v>
      </c>
      <c r="V21" s="185">
        <f>Surfaces!P191</f>
        <v>0</v>
      </c>
      <c r="W21" s="186">
        <f>Surfaces!Q191</f>
        <v>0</v>
      </c>
      <c r="X21" s="190">
        <f t="shared" si="0"/>
        <v>0</v>
      </c>
      <c r="Y21" s="102">
        <f t="shared" si="1"/>
        <v>0</v>
      </c>
      <c r="Z21" s="102">
        <f t="shared" si="2"/>
        <v>0</v>
      </c>
      <c r="AA21" s="131">
        <f t="shared" si="3"/>
        <v>0</v>
      </c>
      <c r="AB21" s="190">
        <f t="shared" si="4"/>
        <v>0</v>
      </c>
      <c r="AC21" s="102">
        <f t="shared" si="5"/>
        <v>0</v>
      </c>
      <c r="AD21" s="102">
        <f t="shared" si="6"/>
        <v>0</v>
      </c>
      <c r="AE21" s="131">
        <f t="shared" si="7"/>
        <v>0</v>
      </c>
      <c r="AF21" s="190">
        <f t="shared" si="8"/>
        <v>0</v>
      </c>
      <c r="AG21" s="102">
        <f t="shared" si="9"/>
        <v>0</v>
      </c>
      <c r="AH21" s="102">
        <f t="shared" si="10"/>
        <v>0</v>
      </c>
      <c r="AI21" s="131">
        <f t="shared" si="11"/>
        <v>0</v>
      </c>
      <c r="AW21" s="134" t="s">
        <v>11</v>
      </c>
      <c r="AX21" s="134" t="s">
        <v>154</v>
      </c>
      <c r="AY21" s="134" t="s">
        <v>154</v>
      </c>
      <c r="AZ21" s="134" t="str">
        <f t="shared" si="12"/>
        <v>AquitaineNoyerNoyer</v>
      </c>
      <c r="BB21" s="563" t="s">
        <v>3254</v>
      </c>
      <c r="BC21" s="36" t="s">
        <v>761</v>
      </c>
      <c r="BD21" s="36">
        <v>54</v>
      </c>
      <c r="BE21" s="36" t="s">
        <v>29</v>
      </c>
      <c r="BF21" s="36" t="s">
        <v>871</v>
      </c>
      <c r="BG21" s="36"/>
      <c r="BH21" s="36" t="s">
        <v>55</v>
      </c>
      <c r="BI21" s="36" t="s">
        <v>760</v>
      </c>
    </row>
    <row r="22" spans="2:64" x14ac:dyDescent="0.3">
      <c r="B22" s="333" t="s">
        <v>2289</v>
      </c>
      <c r="C22" s="335"/>
      <c r="D22" s="37" t="s">
        <v>206</v>
      </c>
      <c r="E22" s="37" t="s">
        <v>207</v>
      </c>
      <c r="F22" s="37">
        <v>5</v>
      </c>
      <c r="G22" s="37">
        <v>18</v>
      </c>
      <c r="H22" s="37" t="s">
        <v>242</v>
      </c>
      <c r="O22" s="1039"/>
      <c r="P22" t="s">
        <v>405</v>
      </c>
      <c r="Q22" s="102">
        <v>5</v>
      </c>
      <c r="R22" s="102">
        <v>20</v>
      </c>
      <c r="S22" s="102">
        <v>75</v>
      </c>
      <c r="T22" s="131">
        <v>200</v>
      </c>
      <c r="U22" s="184">
        <f>Surfaces!O192</f>
        <v>0</v>
      </c>
      <c r="V22" s="185">
        <f>Surfaces!P192</f>
        <v>0</v>
      </c>
      <c r="W22" s="186">
        <f>Surfaces!Q192</f>
        <v>0</v>
      </c>
      <c r="X22" s="190">
        <f t="shared" si="0"/>
        <v>0</v>
      </c>
      <c r="Y22" s="102">
        <f t="shared" si="1"/>
        <v>0</v>
      </c>
      <c r="Z22" s="102">
        <f t="shared" si="2"/>
        <v>0</v>
      </c>
      <c r="AA22" s="131">
        <f t="shared" si="3"/>
        <v>0</v>
      </c>
      <c r="AB22" s="190">
        <f t="shared" si="4"/>
        <v>0</v>
      </c>
      <c r="AC22" s="102">
        <f t="shared" si="5"/>
        <v>0</v>
      </c>
      <c r="AD22" s="102">
        <f t="shared" si="6"/>
        <v>0</v>
      </c>
      <c r="AE22" s="131">
        <f t="shared" si="7"/>
        <v>0</v>
      </c>
      <c r="AF22" s="190">
        <f t="shared" si="8"/>
        <v>0</v>
      </c>
      <c r="AG22" s="102">
        <f t="shared" si="9"/>
        <v>0</v>
      </c>
      <c r="AH22" s="102">
        <f t="shared" si="10"/>
        <v>0</v>
      </c>
      <c r="AI22" s="131">
        <f t="shared" si="11"/>
        <v>0</v>
      </c>
      <c r="AW22" s="134" t="s">
        <v>11</v>
      </c>
      <c r="AX22" s="134" t="s">
        <v>158</v>
      </c>
      <c r="AY22" s="134" t="s">
        <v>635</v>
      </c>
      <c r="AZ22" s="134" t="str">
        <f t="shared" si="12"/>
        <v>AquitainePêcherNectarinier-Pêcher</v>
      </c>
      <c r="BB22" s="563" t="s">
        <v>3255</v>
      </c>
      <c r="BC22" s="36" t="s">
        <v>62</v>
      </c>
      <c r="BD22" s="36">
        <v>24</v>
      </c>
      <c r="BE22" s="36" t="s">
        <v>16</v>
      </c>
      <c r="BF22" s="36" t="s">
        <v>867</v>
      </c>
      <c r="BG22" s="36"/>
      <c r="BH22" s="36" t="s">
        <v>55</v>
      </c>
      <c r="BI22" s="36" t="s">
        <v>761</v>
      </c>
    </row>
    <row r="23" spans="2:64" x14ac:dyDescent="0.3">
      <c r="B23" s="335" t="s">
        <v>2290</v>
      </c>
      <c r="C23" s="334"/>
      <c r="D23" s="37" t="s">
        <v>206</v>
      </c>
      <c r="E23" s="37" t="s">
        <v>207</v>
      </c>
      <c r="F23" s="37">
        <v>5</v>
      </c>
      <c r="G23" s="37">
        <v>19</v>
      </c>
      <c r="H23" s="37" t="s">
        <v>243</v>
      </c>
      <c r="O23" s="1039"/>
      <c r="P23" t="s">
        <v>406</v>
      </c>
      <c r="Q23" s="102">
        <v>5</v>
      </c>
      <c r="R23" s="102">
        <v>20</v>
      </c>
      <c r="S23" s="102">
        <v>100</v>
      </c>
      <c r="T23" s="131">
        <v>500</v>
      </c>
      <c r="U23" s="184">
        <f>Surfaces!O193</f>
        <v>0</v>
      </c>
      <c r="V23" s="185">
        <f>Surfaces!P193</f>
        <v>0</v>
      </c>
      <c r="W23" s="186">
        <f>Surfaces!Q193</f>
        <v>0</v>
      </c>
      <c r="X23" s="190">
        <f t="shared" si="0"/>
        <v>0</v>
      </c>
      <c r="Y23" s="102">
        <f t="shared" si="1"/>
        <v>0</v>
      </c>
      <c r="Z23" s="102">
        <f t="shared" si="2"/>
        <v>0</v>
      </c>
      <c r="AA23" s="131">
        <f t="shared" si="3"/>
        <v>0</v>
      </c>
      <c r="AB23" s="190">
        <f t="shared" si="4"/>
        <v>0</v>
      </c>
      <c r="AC23" s="102">
        <f t="shared" si="5"/>
        <v>0</v>
      </c>
      <c r="AD23" s="102">
        <f t="shared" si="6"/>
        <v>0</v>
      </c>
      <c r="AE23" s="131">
        <f t="shared" si="7"/>
        <v>0</v>
      </c>
      <c r="AF23" s="190">
        <f t="shared" si="8"/>
        <v>0</v>
      </c>
      <c r="AG23" s="102">
        <f t="shared" si="9"/>
        <v>0</v>
      </c>
      <c r="AH23" s="102">
        <f t="shared" si="10"/>
        <v>0</v>
      </c>
      <c r="AI23" s="131">
        <f t="shared" si="11"/>
        <v>0</v>
      </c>
      <c r="AW23" s="134" t="s">
        <v>11</v>
      </c>
      <c r="AX23" s="134" t="s">
        <v>159</v>
      </c>
      <c r="AY23" s="134" t="s">
        <v>159</v>
      </c>
      <c r="AZ23" s="134" t="str">
        <f t="shared" si="12"/>
        <v>AquitainePoirierPoirier</v>
      </c>
      <c r="BB23" s="563" t="s">
        <v>3256</v>
      </c>
      <c r="BC23" s="36" t="s">
        <v>762</v>
      </c>
      <c r="BD23" s="36">
        <v>74</v>
      </c>
      <c r="BE23" s="36" t="s">
        <v>23</v>
      </c>
      <c r="BF23" s="36" t="s">
        <v>871</v>
      </c>
      <c r="BG23" s="36"/>
      <c r="BH23" s="36" t="s">
        <v>62</v>
      </c>
      <c r="BI23" s="36" t="s">
        <v>62</v>
      </c>
    </row>
    <row r="24" spans="2:64" x14ac:dyDescent="0.3">
      <c r="O24" s="1039"/>
      <c r="P24" t="s">
        <v>407</v>
      </c>
      <c r="Q24" s="102">
        <v>20</v>
      </c>
      <c r="R24" s="102">
        <v>40</v>
      </c>
      <c r="S24" s="102">
        <v>150</v>
      </c>
      <c r="T24" s="131">
        <v>400</v>
      </c>
      <c r="U24" s="184">
        <f>Surfaces!O194</f>
        <v>0</v>
      </c>
      <c r="V24" s="185">
        <f>Surfaces!P194</f>
        <v>0</v>
      </c>
      <c r="W24" s="186">
        <f>Surfaces!Q194</f>
        <v>0</v>
      </c>
      <c r="X24" s="190">
        <f t="shared" si="0"/>
        <v>0</v>
      </c>
      <c r="Y24" s="102">
        <f t="shared" si="1"/>
        <v>0</v>
      </c>
      <c r="Z24" s="102">
        <f t="shared" si="2"/>
        <v>0</v>
      </c>
      <c r="AA24" s="131">
        <f t="shared" si="3"/>
        <v>0</v>
      </c>
      <c r="AB24" s="190">
        <f t="shared" si="4"/>
        <v>0</v>
      </c>
      <c r="AC24" s="102">
        <f t="shared" si="5"/>
        <v>0</v>
      </c>
      <c r="AD24" s="102">
        <f t="shared" si="6"/>
        <v>0</v>
      </c>
      <c r="AE24" s="131">
        <f t="shared" si="7"/>
        <v>0</v>
      </c>
      <c r="AF24" s="190">
        <f t="shared" si="8"/>
        <v>0</v>
      </c>
      <c r="AG24" s="102">
        <f t="shared" si="9"/>
        <v>0</v>
      </c>
      <c r="AH24" s="102">
        <f t="shared" si="10"/>
        <v>0</v>
      </c>
      <c r="AI24" s="131">
        <f t="shared" si="11"/>
        <v>0</v>
      </c>
      <c r="AW24" s="134" t="s">
        <v>11</v>
      </c>
      <c r="AX24" s="134" t="s">
        <v>161</v>
      </c>
      <c r="AY24" s="134" t="s">
        <v>161</v>
      </c>
      <c r="AZ24" s="134" t="str">
        <f t="shared" si="12"/>
        <v>AquitainePommierPommier</v>
      </c>
      <c r="BB24" s="563" t="s">
        <v>3088</v>
      </c>
      <c r="BC24" s="36" t="s">
        <v>837</v>
      </c>
      <c r="BD24" s="36">
        <v>94</v>
      </c>
      <c r="BE24" s="36" t="s">
        <v>18</v>
      </c>
      <c r="BF24" s="36" t="s">
        <v>18</v>
      </c>
      <c r="BG24" s="36"/>
      <c r="BH24" s="36" t="s">
        <v>654</v>
      </c>
      <c r="BI24" s="36" t="s">
        <v>762</v>
      </c>
    </row>
    <row r="25" spans="2:64" ht="15" thickBot="1" x14ac:dyDescent="0.35">
      <c r="O25" s="1039"/>
      <c r="P25" s="84" t="s">
        <v>408</v>
      </c>
      <c r="Q25" s="132">
        <v>5</v>
      </c>
      <c r="R25" s="132">
        <v>20</v>
      </c>
      <c r="S25" s="132">
        <v>150</v>
      </c>
      <c r="T25" s="133">
        <v>400</v>
      </c>
      <c r="U25" s="187">
        <f>Surfaces!O195</f>
        <v>0</v>
      </c>
      <c r="V25" s="188">
        <f>Surfaces!P195</f>
        <v>0</v>
      </c>
      <c r="W25" s="189">
        <f>Surfaces!Q195</f>
        <v>0</v>
      </c>
      <c r="X25" s="191">
        <f t="shared" si="0"/>
        <v>0</v>
      </c>
      <c r="Y25" s="132">
        <f t="shared" si="1"/>
        <v>0</v>
      </c>
      <c r="Z25" s="132">
        <f t="shared" si="2"/>
        <v>0</v>
      </c>
      <c r="AA25" s="133">
        <f t="shared" si="3"/>
        <v>0</v>
      </c>
      <c r="AB25" s="191">
        <f t="shared" si="4"/>
        <v>0</v>
      </c>
      <c r="AC25" s="132">
        <f t="shared" si="5"/>
        <v>0</v>
      </c>
      <c r="AD25" s="132">
        <f t="shared" si="6"/>
        <v>0</v>
      </c>
      <c r="AE25" s="133">
        <f t="shared" si="7"/>
        <v>0</v>
      </c>
      <c r="AF25" s="191">
        <f t="shared" si="8"/>
        <v>0</v>
      </c>
      <c r="AG25" s="132">
        <f t="shared" si="9"/>
        <v>0</v>
      </c>
      <c r="AH25" s="132">
        <f t="shared" si="10"/>
        <v>0</v>
      </c>
      <c r="AI25" s="133">
        <f t="shared" si="11"/>
        <v>0</v>
      </c>
      <c r="AW25" s="134" t="s">
        <v>11</v>
      </c>
      <c r="AX25" s="134" t="s">
        <v>162</v>
      </c>
      <c r="AY25" s="134" t="s">
        <v>162</v>
      </c>
      <c r="AZ25" s="134" t="str">
        <f t="shared" si="12"/>
        <v>AquitainePrunierPrunier</v>
      </c>
      <c r="BB25" s="563" t="s">
        <v>3257</v>
      </c>
      <c r="BC25" s="36" t="s">
        <v>763</v>
      </c>
      <c r="BD25" s="36">
        <v>26</v>
      </c>
      <c r="BE25" s="36" t="s">
        <v>14</v>
      </c>
      <c r="BF25" s="36" t="s">
        <v>866</v>
      </c>
      <c r="BH25" s="36" t="s">
        <v>18</v>
      </c>
      <c r="BI25" s="36" t="s">
        <v>837</v>
      </c>
    </row>
    <row r="26" spans="2:64" x14ac:dyDescent="0.3">
      <c r="O26" s="130"/>
      <c r="AW26" s="134" t="s">
        <v>12</v>
      </c>
      <c r="AX26" s="134" t="s">
        <v>127</v>
      </c>
      <c r="AY26" s="134" t="s">
        <v>127</v>
      </c>
      <c r="AZ26" s="134" t="str">
        <f t="shared" si="12"/>
        <v>AuvergneAbricotierAbricotier</v>
      </c>
      <c r="BB26" s="563" t="s">
        <v>3258</v>
      </c>
      <c r="BC26" s="36" t="s">
        <v>764</v>
      </c>
      <c r="BD26" s="36">
        <v>53</v>
      </c>
      <c r="BE26" s="36" t="s">
        <v>15</v>
      </c>
      <c r="BF26" s="36" t="s">
        <v>15</v>
      </c>
      <c r="BH26" s="36" t="s">
        <v>18</v>
      </c>
      <c r="BI26" s="36" t="s">
        <v>838</v>
      </c>
    </row>
    <row r="27" spans="2:64" x14ac:dyDescent="0.3">
      <c r="O27" s="130"/>
      <c r="X27" s="102"/>
      <c r="Y27" s="102"/>
      <c r="Z27" s="102"/>
      <c r="AA27" s="102"/>
      <c r="AB27" s="102"/>
      <c r="AC27" s="102"/>
      <c r="AD27" s="102"/>
      <c r="AE27" s="102"/>
      <c r="AF27" s="102"/>
      <c r="AG27" s="102"/>
      <c r="AH27" s="102"/>
      <c r="AI27" s="102"/>
      <c r="AW27" s="134" t="s">
        <v>12</v>
      </c>
      <c r="AX27" s="134" t="s">
        <v>634</v>
      </c>
      <c r="AY27" s="134" t="s">
        <v>135</v>
      </c>
      <c r="AZ27" s="134" t="str">
        <f t="shared" si="12"/>
        <v>AuvergneAgrumesClémentinier</v>
      </c>
      <c r="BB27" s="563" t="s">
        <v>3259</v>
      </c>
      <c r="BC27" s="36" t="s">
        <v>765</v>
      </c>
      <c r="BD27" s="36">
        <v>74</v>
      </c>
      <c r="BE27" s="36" t="s">
        <v>23</v>
      </c>
      <c r="BF27" s="36" t="s">
        <v>871</v>
      </c>
      <c r="BG27" s="36"/>
      <c r="BH27" s="36" t="s">
        <v>14</v>
      </c>
      <c r="BI27" s="36" t="s">
        <v>763</v>
      </c>
    </row>
    <row r="28" spans="2:64" x14ac:dyDescent="0.3">
      <c r="O28" s="130"/>
      <c r="AW28" s="134" t="s">
        <v>12</v>
      </c>
      <c r="AX28" s="134" t="s">
        <v>170</v>
      </c>
      <c r="AY28" s="134" t="s">
        <v>162</v>
      </c>
      <c r="AZ28" s="134" t="str">
        <f t="shared" si="12"/>
        <v>AuvergneAutresPrunier</v>
      </c>
      <c r="BB28" s="563" t="s">
        <v>3260</v>
      </c>
      <c r="BC28" s="36" t="s">
        <v>818</v>
      </c>
      <c r="BD28" s="36">
        <v>54</v>
      </c>
      <c r="BE28" s="36" t="s">
        <v>29</v>
      </c>
      <c r="BF28" s="36" t="s">
        <v>871</v>
      </c>
      <c r="BG28" s="36"/>
      <c r="BH28" s="36" t="s">
        <v>654</v>
      </c>
      <c r="BI28" s="36" t="s">
        <v>764</v>
      </c>
    </row>
    <row r="29" spans="2:64" x14ac:dyDescent="0.3">
      <c r="O29" s="130"/>
      <c r="AW29" s="134" t="s">
        <v>12</v>
      </c>
      <c r="AX29" s="134" t="s">
        <v>132</v>
      </c>
      <c r="AY29" s="134" t="s">
        <v>132</v>
      </c>
      <c r="AZ29" s="134" t="str">
        <f t="shared" si="12"/>
        <v>AuvergneCerisierCerisier</v>
      </c>
      <c r="BB29" s="563" t="s">
        <v>3261</v>
      </c>
      <c r="BC29" s="36" t="s">
        <v>49</v>
      </c>
      <c r="BD29" s="36">
        <v>72</v>
      </c>
      <c r="BE29" s="36" t="s">
        <v>11</v>
      </c>
      <c r="BF29" s="36" t="s">
        <v>871</v>
      </c>
      <c r="BG29" s="36"/>
      <c r="BH29" s="36" t="s">
        <v>654</v>
      </c>
      <c r="BI29" s="36" t="s">
        <v>765</v>
      </c>
    </row>
    <row r="30" spans="2:64" x14ac:dyDescent="0.3">
      <c r="O30" s="130"/>
      <c r="AW30" s="134" t="s">
        <v>12</v>
      </c>
      <c r="AX30" s="134" t="s">
        <v>145</v>
      </c>
      <c r="AY30" s="134" t="s">
        <v>145</v>
      </c>
      <c r="AZ30" s="134" t="str">
        <f t="shared" si="12"/>
        <v>AuvergneMirabellierMirabellier</v>
      </c>
      <c r="BB30" s="563" t="s">
        <v>3262</v>
      </c>
      <c r="BC30" s="36" t="s">
        <v>766</v>
      </c>
      <c r="BD30" s="36">
        <v>43</v>
      </c>
      <c r="BE30" s="36" t="s">
        <v>19</v>
      </c>
      <c r="BF30" s="36" t="s">
        <v>866</v>
      </c>
      <c r="BG30" s="36"/>
      <c r="BH30" s="36" t="s">
        <v>49</v>
      </c>
      <c r="BI30" s="36" t="s">
        <v>49</v>
      </c>
    </row>
    <row r="31" spans="2:64" x14ac:dyDescent="0.3">
      <c r="AW31" s="134" t="s">
        <v>12</v>
      </c>
      <c r="AX31" s="134" t="s">
        <v>151</v>
      </c>
      <c r="AY31" s="134" t="s">
        <v>635</v>
      </c>
      <c r="AZ31" s="134" t="str">
        <f t="shared" si="12"/>
        <v>AuvergneNectarinierNectarinier-Pêcher</v>
      </c>
      <c r="BB31" s="563" t="s">
        <v>3263</v>
      </c>
      <c r="BC31" s="36" t="s">
        <v>767</v>
      </c>
      <c r="BD31" s="36">
        <v>82</v>
      </c>
      <c r="BE31" s="36" t="s">
        <v>31</v>
      </c>
      <c r="BF31" s="36" t="s">
        <v>865</v>
      </c>
      <c r="BG31" s="36"/>
      <c r="BH31" s="36" t="s">
        <v>644</v>
      </c>
      <c r="BI31" s="36" t="s">
        <v>766</v>
      </c>
    </row>
    <row r="32" spans="2:64" x14ac:dyDescent="0.3">
      <c r="AW32" s="134" t="s">
        <v>12</v>
      </c>
      <c r="AX32" s="134" t="s">
        <v>154</v>
      </c>
      <c r="AY32" s="134" t="s">
        <v>154</v>
      </c>
      <c r="AZ32" s="134" t="str">
        <f t="shared" si="12"/>
        <v>AuvergneNoyerNoyer</v>
      </c>
      <c r="BB32" s="563" t="s">
        <v>3264</v>
      </c>
      <c r="BC32" s="36" t="s">
        <v>830</v>
      </c>
      <c r="BD32" s="36">
        <v>11</v>
      </c>
      <c r="BE32" s="36" t="s">
        <v>843</v>
      </c>
      <c r="BF32" s="36" t="s">
        <v>292</v>
      </c>
      <c r="BG32" s="36"/>
      <c r="BH32" s="36" t="s">
        <v>647</v>
      </c>
      <c r="BI32" s="36" t="s">
        <v>3092</v>
      </c>
    </row>
    <row r="33" spans="17:61" x14ac:dyDescent="0.3">
      <c r="Q33" s="141"/>
      <c r="AW33" s="134" t="s">
        <v>12</v>
      </c>
      <c r="AX33" s="134" t="s">
        <v>158</v>
      </c>
      <c r="AY33" s="134" t="s">
        <v>635</v>
      </c>
      <c r="AZ33" s="134" t="str">
        <f t="shared" si="12"/>
        <v>AuvergnePêcherNectarinier-Pêcher</v>
      </c>
      <c r="BB33" s="563" t="s">
        <v>3265</v>
      </c>
      <c r="BC33" s="36" t="s">
        <v>768</v>
      </c>
      <c r="BD33" s="36">
        <v>23</v>
      </c>
      <c r="BE33" s="36" t="s">
        <v>20</v>
      </c>
      <c r="BF33" s="36" t="s">
        <v>870</v>
      </c>
      <c r="BG33" s="36"/>
      <c r="BH33" s="36" t="s">
        <v>648</v>
      </c>
      <c r="BI33" s="36" t="s">
        <v>3093</v>
      </c>
    </row>
    <row r="34" spans="17:61" x14ac:dyDescent="0.3">
      <c r="S34" s="141"/>
      <c r="T34" s="141"/>
      <c r="U34" s="141"/>
      <c r="V34" s="141"/>
      <c r="W34" s="141"/>
      <c r="X34" s="141"/>
      <c r="Y34" s="141"/>
      <c r="Z34" s="141"/>
      <c r="AA34" s="141"/>
      <c r="AB34" s="141"/>
      <c r="AC34" s="141"/>
      <c r="AD34" s="141"/>
      <c r="AE34" s="141"/>
      <c r="AF34" s="141"/>
      <c r="AG34" s="141"/>
      <c r="AH34" s="141"/>
      <c r="AI34" s="141"/>
      <c r="AW34" s="134" t="s">
        <v>12</v>
      </c>
      <c r="AX34" s="134" t="s">
        <v>159</v>
      </c>
      <c r="AY34" s="134" t="s">
        <v>159</v>
      </c>
      <c r="AZ34" s="134" t="str">
        <f t="shared" si="12"/>
        <v>AuvergnePoirierPoirier</v>
      </c>
      <c r="BB34" s="563" t="s">
        <v>3266</v>
      </c>
      <c r="BC34" s="36" t="s">
        <v>769</v>
      </c>
      <c r="BD34" s="36">
        <v>24</v>
      </c>
      <c r="BE34" s="36" t="s">
        <v>16</v>
      </c>
      <c r="BF34" s="36" t="s">
        <v>867</v>
      </c>
      <c r="BG34" s="36"/>
      <c r="BH34" s="36" t="s">
        <v>654</v>
      </c>
      <c r="BI34" s="36" t="s">
        <v>768</v>
      </c>
    </row>
    <row r="35" spans="17:61" x14ac:dyDescent="0.3">
      <c r="AW35" s="134" t="s">
        <v>12</v>
      </c>
      <c r="AX35" s="134" t="s">
        <v>161</v>
      </c>
      <c r="AY35" s="134" t="s">
        <v>161</v>
      </c>
      <c r="AZ35" s="134" t="str">
        <f t="shared" si="12"/>
        <v>AuvergnePommierPommier</v>
      </c>
      <c r="BB35" s="563" t="s">
        <v>3267</v>
      </c>
      <c r="BC35" s="36" t="s">
        <v>770</v>
      </c>
      <c r="BD35" s="36">
        <v>53</v>
      </c>
      <c r="BE35" s="36" t="s">
        <v>15</v>
      </c>
      <c r="BF35" s="36" t="s">
        <v>15</v>
      </c>
      <c r="BG35" s="36"/>
      <c r="BH35" s="36" t="s">
        <v>654</v>
      </c>
      <c r="BI35" s="36" t="s">
        <v>769</v>
      </c>
    </row>
    <row r="36" spans="17:61" x14ac:dyDescent="0.3">
      <c r="AW36" s="134" t="s">
        <v>12</v>
      </c>
      <c r="AX36" s="134" t="s">
        <v>162</v>
      </c>
      <c r="AY36" s="134" t="s">
        <v>162</v>
      </c>
      <c r="AZ36" s="134" t="str">
        <f t="shared" si="12"/>
        <v>AuvergnePrunierPrunier</v>
      </c>
      <c r="BB36" s="563" t="s">
        <v>3268</v>
      </c>
      <c r="BC36" s="36" t="s">
        <v>771</v>
      </c>
      <c r="BD36" s="36">
        <v>91</v>
      </c>
      <c r="BE36" s="36" t="s">
        <v>22</v>
      </c>
      <c r="BF36" s="36" t="s">
        <v>872</v>
      </c>
      <c r="BG36" s="36"/>
      <c r="BH36" s="36" t="s">
        <v>654</v>
      </c>
      <c r="BI36" s="36" t="s">
        <v>770</v>
      </c>
    </row>
    <row r="37" spans="17:61" x14ac:dyDescent="0.3">
      <c r="AW37" s="134" t="s">
        <v>13</v>
      </c>
      <c r="AX37" s="134" t="s">
        <v>127</v>
      </c>
      <c r="AY37" s="134" t="s">
        <v>127</v>
      </c>
      <c r="AZ37" s="134" t="str">
        <f t="shared" si="12"/>
        <v>Basse-NormandieAbricotierAbricotier</v>
      </c>
      <c r="BB37" s="563" t="s">
        <v>3269</v>
      </c>
      <c r="BC37" s="36" t="s">
        <v>59</v>
      </c>
      <c r="BD37" s="36">
        <v>73</v>
      </c>
      <c r="BE37" s="36" t="s">
        <v>25</v>
      </c>
      <c r="BF37" s="36" t="s">
        <v>872</v>
      </c>
      <c r="BG37" s="36"/>
      <c r="BH37" s="36" t="s">
        <v>22</v>
      </c>
      <c r="BI37" s="36" t="s">
        <v>771</v>
      </c>
    </row>
    <row r="38" spans="17:61" x14ac:dyDescent="0.3">
      <c r="AW38" s="134" t="s">
        <v>13</v>
      </c>
      <c r="AX38" s="134" t="s">
        <v>634</v>
      </c>
      <c r="AY38" s="134" t="s">
        <v>135</v>
      </c>
      <c r="AZ38" s="134" t="str">
        <f t="shared" si="12"/>
        <v>Basse-NormandieAgrumesClémentinier</v>
      </c>
      <c r="BB38" s="563" t="s">
        <v>3270</v>
      </c>
      <c r="BC38" s="36" t="s">
        <v>773</v>
      </c>
      <c r="BD38" s="36">
        <v>72</v>
      </c>
      <c r="BE38" s="36" t="s">
        <v>11</v>
      </c>
      <c r="BF38" s="36" t="s">
        <v>871</v>
      </c>
      <c r="BG38" s="36"/>
      <c r="BH38" s="36" t="s">
        <v>651</v>
      </c>
      <c r="BI38" s="36" t="s">
        <v>772</v>
      </c>
    </row>
    <row r="39" spans="17:61" x14ac:dyDescent="0.3">
      <c r="AW39" s="134" t="s">
        <v>13</v>
      </c>
      <c r="AX39" s="134" t="s">
        <v>170</v>
      </c>
      <c r="AY39" s="134" t="s">
        <v>162</v>
      </c>
      <c r="AZ39" s="134" t="str">
        <f t="shared" si="12"/>
        <v>Basse-NormandieAutresPrunier</v>
      </c>
      <c r="BB39" s="563" t="s">
        <v>3271</v>
      </c>
      <c r="BC39" s="36" t="s">
        <v>284</v>
      </c>
      <c r="BD39" s="36">
        <v>1</v>
      </c>
      <c r="BE39" s="36" t="s">
        <v>284</v>
      </c>
      <c r="BF39" s="36" t="s">
        <v>284</v>
      </c>
      <c r="BG39" s="36"/>
      <c r="BH39" s="36" t="s">
        <v>59</v>
      </c>
      <c r="BI39" s="36" t="s">
        <v>59</v>
      </c>
    </row>
    <row r="40" spans="17:61" x14ac:dyDescent="0.3">
      <c r="AW40" s="134" t="s">
        <v>13</v>
      </c>
      <c r="AX40" s="134" t="s">
        <v>132</v>
      </c>
      <c r="AY40" s="134" t="s">
        <v>132</v>
      </c>
      <c r="AZ40" s="134" t="str">
        <f t="shared" si="12"/>
        <v>Basse-NormandieCerisierCerisier</v>
      </c>
      <c r="BB40" s="563" t="s">
        <v>3272</v>
      </c>
      <c r="BC40" s="36" t="s">
        <v>285</v>
      </c>
      <c r="BD40" s="36">
        <v>3</v>
      </c>
      <c r="BE40" s="36" t="s">
        <v>285</v>
      </c>
      <c r="BF40" s="36" t="s">
        <v>285</v>
      </c>
      <c r="BG40" s="36"/>
      <c r="BH40" s="36" t="s">
        <v>48</v>
      </c>
      <c r="BI40" s="36" t="s">
        <v>773</v>
      </c>
    </row>
    <row r="41" spans="17:61" x14ac:dyDescent="0.3">
      <c r="AW41" s="134" t="s">
        <v>13</v>
      </c>
      <c r="AX41" s="134" t="s">
        <v>145</v>
      </c>
      <c r="AY41" s="134" t="s">
        <v>145</v>
      </c>
      <c r="AZ41" s="134" t="str">
        <f t="shared" si="12"/>
        <v>Basse-NormandieMirabellierMirabellier</v>
      </c>
      <c r="BB41" s="563" t="s">
        <v>3089</v>
      </c>
      <c r="BC41" s="36" t="s">
        <v>838</v>
      </c>
      <c r="BD41" s="36">
        <v>94</v>
      </c>
      <c r="BE41" s="36" t="s">
        <v>18</v>
      </c>
      <c r="BF41" s="36" t="s">
        <v>18</v>
      </c>
      <c r="BG41" s="36"/>
      <c r="BH41" s="36" t="s">
        <v>22</v>
      </c>
      <c r="BI41" s="36" t="s">
        <v>774</v>
      </c>
    </row>
    <row r="42" spans="17:61" x14ac:dyDescent="0.3">
      <c r="AW42" s="134" t="s">
        <v>13</v>
      </c>
      <c r="AX42" s="134" t="s">
        <v>151</v>
      </c>
      <c r="AY42" s="134" t="s">
        <v>635</v>
      </c>
      <c r="AZ42" s="134" t="str">
        <f t="shared" si="12"/>
        <v>Basse-NormandieNectarinierNectarinier-Pêcher</v>
      </c>
      <c r="BB42" s="563" t="s">
        <v>3273</v>
      </c>
      <c r="BC42" s="36" t="s">
        <v>772</v>
      </c>
      <c r="BD42" s="36">
        <v>73</v>
      </c>
      <c r="BE42" s="36" t="s">
        <v>25</v>
      </c>
      <c r="BF42" s="36" t="s">
        <v>872</v>
      </c>
      <c r="BG42" s="36"/>
      <c r="BH42" s="36" t="s">
        <v>654</v>
      </c>
      <c r="BI42" s="36" t="s">
        <v>775</v>
      </c>
    </row>
    <row r="43" spans="17:61" x14ac:dyDescent="0.3">
      <c r="AW43" s="134" t="s">
        <v>13</v>
      </c>
      <c r="AX43" s="134" t="s">
        <v>154</v>
      </c>
      <c r="AY43" s="134" t="s">
        <v>154</v>
      </c>
      <c r="AZ43" s="134" t="str">
        <f t="shared" si="12"/>
        <v>Basse-NormandieNoyerNoyer</v>
      </c>
      <c r="BB43" s="563" t="s">
        <v>3274</v>
      </c>
      <c r="BC43" s="36" t="s">
        <v>782</v>
      </c>
      <c r="BD43" s="36">
        <v>83</v>
      </c>
      <c r="BE43" s="36" t="s">
        <v>12</v>
      </c>
      <c r="BF43" s="36" t="s">
        <v>865</v>
      </c>
      <c r="BG43" s="36"/>
      <c r="BH43" s="36" t="s">
        <v>653</v>
      </c>
      <c r="BI43" s="36" t="s">
        <v>776</v>
      </c>
    </row>
    <row r="44" spans="17:61" x14ac:dyDescent="0.3">
      <c r="AW44" s="134" t="s">
        <v>13</v>
      </c>
      <c r="AX44" s="134" t="s">
        <v>158</v>
      </c>
      <c r="AY44" s="134" t="s">
        <v>635</v>
      </c>
      <c r="AZ44" s="134" t="str">
        <f t="shared" si="12"/>
        <v>Basse-NormandiePêcherNectarinier-Pêcher</v>
      </c>
      <c r="BB44" s="563" t="s">
        <v>3275</v>
      </c>
      <c r="BC44" s="36" t="s">
        <v>790</v>
      </c>
      <c r="BD44" s="36">
        <v>21</v>
      </c>
      <c r="BE44" s="36" t="s">
        <v>17</v>
      </c>
      <c r="BF44" s="36" t="s">
        <v>868</v>
      </c>
      <c r="BG44" s="36"/>
      <c r="BH44" s="36" t="s">
        <v>53</v>
      </c>
      <c r="BI44" s="36" t="s">
        <v>777</v>
      </c>
    </row>
    <row r="45" spans="17:61" x14ac:dyDescent="0.3">
      <c r="AW45" s="134" t="s">
        <v>13</v>
      </c>
      <c r="AX45" s="134" t="s">
        <v>159</v>
      </c>
      <c r="AY45" s="134" t="s">
        <v>159</v>
      </c>
      <c r="AZ45" s="134" t="str">
        <f t="shared" si="12"/>
        <v>Basse-NormandiePoirierPoirier</v>
      </c>
      <c r="BB45" s="563" t="s">
        <v>674</v>
      </c>
      <c r="BC45" s="36" t="s">
        <v>748</v>
      </c>
      <c r="BD45" s="36">
        <v>93</v>
      </c>
      <c r="BE45" s="36" t="s">
        <v>30</v>
      </c>
      <c r="BF45" s="36" t="s">
        <v>30</v>
      </c>
      <c r="BG45" s="36"/>
      <c r="BH45" s="36" t="s">
        <v>52</v>
      </c>
      <c r="BI45" s="36" t="s">
        <v>778</v>
      </c>
    </row>
    <row r="46" spans="17:61" x14ac:dyDescent="0.3">
      <c r="AW46" s="134" t="s">
        <v>13</v>
      </c>
      <c r="AX46" s="134" t="s">
        <v>161</v>
      </c>
      <c r="AY46" s="134" t="s">
        <v>161</v>
      </c>
      <c r="AZ46" s="134" t="str">
        <f t="shared" si="12"/>
        <v>Basse-NormandiePommierPommier</v>
      </c>
      <c r="BB46" s="563" t="s">
        <v>3276</v>
      </c>
      <c r="BC46" s="36" t="s">
        <v>809</v>
      </c>
      <c r="BD46" s="36">
        <v>43</v>
      </c>
      <c r="BE46" s="36" t="s">
        <v>19</v>
      </c>
      <c r="BF46" s="36" t="s">
        <v>866</v>
      </c>
      <c r="BG46" s="36"/>
      <c r="BH46" s="36" t="s">
        <v>643</v>
      </c>
      <c r="BI46" s="36" t="s">
        <v>643</v>
      </c>
    </row>
    <row r="47" spans="17:61" x14ac:dyDescent="0.3">
      <c r="AW47" s="134" t="s">
        <v>13</v>
      </c>
      <c r="AX47" s="134" t="s">
        <v>162</v>
      </c>
      <c r="AY47" s="134" t="s">
        <v>162</v>
      </c>
      <c r="AZ47" s="134" t="str">
        <f t="shared" si="12"/>
        <v>Basse-NormandiePrunierPrunier</v>
      </c>
      <c r="BB47" s="563" t="s">
        <v>3277</v>
      </c>
      <c r="BC47" s="36" t="s">
        <v>813</v>
      </c>
      <c r="BD47" s="36">
        <v>82</v>
      </c>
      <c r="BE47" s="36" t="s">
        <v>31</v>
      </c>
      <c r="BF47" s="36" t="s">
        <v>865</v>
      </c>
      <c r="BG47" s="36"/>
      <c r="BH47" s="36" t="s">
        <v>651</v>
      </c>
      <c r="BI47" s="36" t="s">
        <v>779</v>
      </c>
    </row>
    <row r="48" spans="17:61" x14ac:dyDescent="0.3">
      <c r="AW48" s="134" t="s">
        <v>14</v>
      </c>
      <c r="AX48" s="134" t="s">
        <v>127</v>
      </c>
      <c r="AY48" s="134" t="s">
        <v>127</v>
      </c>
      <c r="AZ48" s="134" t="str">
        <f t="shared" si="12"/>
        <v>BourgogneAbricotierAbricotier</v>
      </c>
      <c r="BB48" s="563" t="s">
        <v>3278</v>
      </c>
      <c r="BC48" s="36" t="s">
        <v>803</v>
      </c>
      <c r="BD48" s="36">
        <v>73</v>
      </c>
      <c r="BE48" s="36" t="s">
        <v>25</v>
      </c>
      <c r="BF48" s="36" t="s">
        <v>872</v>
      </c>
      <c r="BG48" s="36"/>
      <c r="BH48" s="36" t="s">
        <v>53</v>
      </c>
      <c r="BI48" s="36" t="s">
        <v>780</v>
      </c>
    </row>
    <row r="49" spans="49:61" x14ac:dyDescent="0.3">
      <c r="AW49" s="134" t="s">
        <v>14</v>
      </c>
      <c r="AX49" s="134" t="s">
        <v>634</v>
      </c>
      <c r="AY49" s="134" t="s">
        <v>135</v>
      </c>
      <c r="AZ49" s="134" t="str">
        <f t="shared" si="12"/>
        <v>BourgogneAgrumesClémentinier</v>
      </c>
      <c r="BB49" s="563" t="s">
        <v>3245</v>
      </c>
      <c r="BC49" s="36" t="s">
        <v>826</v>
      </c>
      <c r="BD49" s="36">
        <v>74</v>
      </c>
      <c r="BE49" s="36" t="s">
        <v>23</v>
      </c>
      <c r="BF49" s="36" t="s">
        <v>871</v>
      </c>
      <c r="BG49" s="36"/>
      <c r="BH49" s="36" t="s">
        <v>644</v>
      </c>
      <c r="BI49" s="36" t="s">
        <v>781</v>
      </c>
    </row>
    <row r="50" spans="49:61" x14ac:dyDescent="0.3">
      <c r="AW50" s="134" t="s">
        <v>14</v>
      </c>
      <c r="AX50" s="134" t="s">
        <v>170</v>
      </c>
      <c r="AY50" s="134" t="s">
        <v>162</v>
      </c>
      <c r="AZ50" s="134" t="str">
        <f t="shared" si="12"/>
        <v>BourgogneAutresPrunier</v>
      </c>
      <c r="BB50" s="563" t="s">
        <v>3279</v>
      </c>
      <c r="BC50" s="36" t="s">
        <v>805</v>
      </c>
      <c r="BD50" s="36">
        <v>42</v>
      </c>
      <c r="BE50" s="36" t="s">
        <v>10</v>
      </c>
      <c r="BF50" s="36" t="s">
        <v>868</v>
      </c>
      <c r="BG50" s="36"/>
      <c r="BH50" s="36" t="s">
        <v>654</v>
      </c>
      <c r="BI50" s="36" t="s">
        <v>782</v>
      </c>
    </row>
    <row r="51" spans="49:61" x14ac:dyDescent="0.3">
      <c r="AW51" s="134" t="s">
        <v>14</v>
      </c>
      <c r="AX51" s="134" t="s">
        <v>132</v>
      </c>
      <c r="AY51" s="134" t="s">
        <v>132</v>
      </c>
      <c r="AZ51" s="134" t="str">
        <f t="shared" si="12"/>
        <v>BourgogneCerisierCerisier</v>
      </c>
      <c r="BB51" s="563" t="s">
        <v>3280</v>
      </c>
      <c r="BC51" s="36" t="s">
        <v>831</v>
      </c>
      <c r="BD51" s="36">
        <v>11</v>
      </c>
      <c r="BE51" s="36" t="s">
        <v>843</v>
      </c>
      <c r="BF51" s="36" t="s">
        <v>292</v>
      </c>
      <c r="BG51" s="36"/>
      <c r="BH51" s="36" t="s">
        <v>53</v>
      </c>
      <c r="BI51" s="36" t="s">
        <v>783</v>
      </c>
    </row>
    <row r="52" spans="49:61" x14ac:dyDescent="0.3">
      <c r="AW52" s="134" t="s">
        <v>14</v>
      </c>
      <c r="AX52" s="134" t="s">
        <v>145</v>
      </c>
      <c r="AY52" s="134" t="s">
        <v>145</v>
      </c>
      <c r="AZ52" s="134" t="str">
        <f t="shared" si="12"/>
        <v>BourgogneMirabellierMirabellier</v>
      </c>
      <c r="BB52" s="563" t="s">
        <v>3281</v>
      </c>
      <c r="BC52" s="36" t="s">
        <v>774</v>
      </c>
      <c r="BD52" s="36">
        <v>91</v>
      </c>
      <c r="BE52" s="36" t="s">
        <v>22</v>
      </c>
      <c r="BF52" s="36" t="s">
        <v>872</v>
      </c>
      <c r="BG52" s="36"/>
      <c r="BH52" s="36" t="s">
        <v>653</v>
      </c>
      <c r="BI52" s="36" t="s">
        <v>784</v>
      </c>
    </row>
    <row r="53" spans="49:61" x14ac:dyDescent="0.3">
      <c r="AW53" s="134" t="s">
        <v>14</v>
      </c>
      <c r="AX53" s="134" t="s">
        <v>151</v>
      </c>
      <c r="AY53" s="134" t="s">
        <v>635</v>
      </c>
      <c r="AZ53" s="134" t="str">
        <f t="shared" si="12"/>
        <v>BourgogneNectarinierNectarinier-Pêcher</v>
      </c>
      <c r="BB53" s="563" t="s">
        <v>3282</v>
      </c>
      <c r="BC53" s="36" t="s">
        <v>3087</v>
      </c>
      <c r="BD53" s="36">
        <v>989</v>
      </c>
      <c r="BE53" s="36" t="s">
        <v>3087</v>
      </c>
      <c r="BF53" s="36" t="s">
        <v>3087</v>
      </c>
      <c r="BG53" s="36"/>
      <c r="BH53" s="36" t="s">
        <v>57</v>
      </c>
      <c r="BI53" s="36" t="s">
        <v>785</v>
      </c>
    </row>
    <row r="54" spans="49:61" x14ac:dyDescent="0.3">
      <c r="AW54" s="134" t="s">
        <v>14</v>
      </c>
      <c r="AX54" s="134" t="s">
        <v>154</v>
      </c>
      <c r="AY54" s="134" t="s">
        <v>154</v>
      </c>
      <c r="AZ54" s="134" t="str">
        <f t="shared" si="12"/>
        <v>BourgogneNoyerNoyer</v>
      </c>
      <c r="BB54" s="563" t="s">
        <v>3283</v>
      </c>
      <c r="BC54" s="36" t="s">
        <v>775</v>
      </c>
      <c r="BD54" s="36">
        <v>53</v>
      </c>
      <c r="BE54" s="36" t="s">
        <v>15</v>
      </c>
      <c r="BF54" s="36" t="s">
        <v>15</v>
      </c>
      <c r="BG54" s="36"/>
      <c r="BH54" s="36" t="s">
        <v>50</v>
      </c>
      <c r="BI54" s="36" t="s">
        <v>50</v>
      </c>
    </row>
    <row r="55" spans="49:61" x14ac:dyDescent="0.3">
      <c r="AW55" s="134" t="s">
        <v>14</v>
      </c>
      <c r="AX55" s="134" t="s">
        <v>158</v>
      </c>
      <c r="AY55" s="134" t="s">
        <v>635</v>
      </c>
      <c r="AZ55" s="134" t="str">
        <f t="shared" si="12"/>
        <v>BourgognePêcherNectarinier-Pêcher</v>
      </c>
      <c r="BB55" s="563" t="s">
        <v>3284</v>
      </c>
      <c r="BC55" s="36" t="s">
        <v>776</v>
      </c>
      <c r="BD55" s="36">
        <v>24</v>
      </c>
      <c r="BE55" s="36" t="s">
        <v>16</v>
      </c>
      <c r="BF55" s="36" t="s">
        <v>867</v>
      </c>
      <c r="BG55" s="36"/>
      <c r="BH55" s="36" t="s">
        <v>654</v>
      </c>
      <c r="BI55" s="36" t="s">
        <v>786</v>
      </c>
    </row>
    <row r="56" spans="49:61" x14ac:dyDescent="0.3">
      <c r="AW56" s="134" t="s">
        <v>14</v>
      </c>
      <c r="AX56" s="134" t="s">
        <v>159</v>
      </c>
      <c r="AY56" s="134" t="s">
        <v>159</v>
      </c>
      <c r="AZ56" s="134" t="str">
        <f t="shared" si="12"/>
        <v>BourgognePoirierPoirier</v>
      </c>
      <c r="BB56" s="563" t="s">
        <v>3285</v>
      </c>
      <c r="BC56" s="36" t="s">
        <v>777</v>
      </c>
      <c r="BD56" s="36">
        <v>24</v>
      </c>
      <c r="BE56" s="36" t="s">
        <v>16</v>
      </c>
      <c r="BF56" s="36" t="s">
        <v>867</v>
      </c>
      <c r="BG56" s="36"/>
      <c r="BH56" s="36" t="s">
        <v>53</v>
      </c>
      <c r="BI56" s="36" t="s">
        <v>787</v>
      </c>
    </row>
    <row r="57" spans="49:61" x14ac:dyDescent="0.3">
      <c r="AW57" s="134" t="s">
        <v>14</v>
      </c>
      <c r="AX57" s="134" t="s">
        <v>161</v>
      </c>
      <c r="AY57" s="134" t="s">
        <v>161</v>
      </c>
      <c r="AZ57" s="134" t="str">
        <f t="shared" si="12"/>
        <v>BourgognePommierPommier</v>
      </c>
      <c r="BB57" s="563" t="s">
        <v>3286</v>
      </c>
      <c r="BC57" s="36" t="s">
        <v>778</v>
      </c>
      <c r="BD57" s="36">
        <v>82</v>
      </c>
      <c r="BE57" s="36" t="s">
        <v>31</v>
      </c>
      <c r="BF57" s="36" t="s">
        <v>865</v>
      </c>
      <c r="BG57" s="36"/>
      <c r="BH57" s="36" t="s">
        <v>654</v>
      </c>
      <c r="BI57" s="36" t="s">
        <v>788</v>
      </c>
    </row>
    <row r="58" spans="49:61" x14ac:dyDescent="0.3">
      <c r="AW58" s="134" t="s">
        <v>14</v>
      </c>
      <c r="AX58" s="134" t="s">
        <v>162</v>
      </c>
      <c r="AY58" s="134" t="s">
        <v>162</v>
      </c>
      <c r="AZ58" s="134" t="str">
        <f t="shared" si="12"/>
        <v>BourgognePrunierPrunier</v>
      </c>
      <c r="BB58" s="563" t="s">
        <v>3287</v>
      </c>
      <c r="BC58" s="36" t="s">
        <v>643</v>
      </c>
      <c r="BD58" s="36">
        <v>43</v>
      </c>
      <c r="BE58" s="36" t="s">
        <v>19</v>
      </c>
      <c r="BF58" s="36" t="s">
        <v>866</v>
      </c>
      <c r="BG58" s="36"/>
      <c r="BH58" s="36" t="s">
        <v>54</v>
      </c>
      <c r="BI58" s="36" t="s">
        <v>789</v>
      </c>
    </row>
    <row r="59" spans="49:61" x14ac:dyDescent="0.3">
      <c r="AW59" s="134" t="s">
        <v>15</v>
      </c>
      <c r="AX59" s="134" t="s">
        <v>127</v>
      </c>
      <c r="AY59" s="134" t="s">
        <v>127</v>
      </c>
      <c r="AZ59" s="134" t="str">
        <f t="shared" si="12"/>
        <v>BretagneAbricotierAbricotier</v>
      </c>
      <c r="BB59" s="563" t="s">
        <v>3288</v>
      </c>
      <c r="BC59" s="36" t="s">
        <v>835</v>
      </c>
      <c r="BD59" s="36">
        <v>4</v>
      </c>
      <c r="BE59" s="36" t="s">
        <v>835</v>
      </c>
      <c r="BF59" s="36" t="s">
        <v>835</v>
      </c>
      <c r="BG59" s="36"/>
      <c r="BH59" s="36" t="s">
        <v>645</v>
      </c>
      <c r="BI59" s="36" t="s">
        <v>790</v>
      </c>
    </row>
    <row r="60" spans="49:61" x14ac:dyDescent="0.3">
      <c r="AW60" s="134" t="s">
        <v>15</v>
      </c>
      <c r="AX60" s="134" t="s">
        <v>634</v>
      </c>
      <c r="AY60" s="134" t="s">
        <v>135</v>
      </c>
      <c r="AZ60" s="134" t="str">
        <f t="shared" si="12"/>
        <v>BretagneAgrumesClémentinier</v>
      </c>
      <c r="BB60" s="563" t="s">
        <v>3289</v>
      </c>
      <c r="BC60" s="36" t="s">
        <v>779</v>
      </c>
      <c r="BD60" s="36">
        <v>72</v>
      </c>
      <c r="BE60" s="36" t="s">
        <v>11</v>
      </c>
      <c r="BF60" s="36" t="s">
        <v>871</v>
      </c>
      <c r="BG60" s="36"/>
      <c r="BH60" s="36" t="s">
        <v>654</v>
      </c>
      <c r="BI60" s="36" t="s">
        <v>791</v>
      </c>
    </row>
    <row r="61" spans="49:61" x14ac:dyDescent="0.3">
      <c r="AW61" s="134" t="s">
        <v>15</v>
      </c>
      <c r="AX61" s="134" t="s">
        <v>170</v>
      </c>
      <c r="AY61" s="134" t="s">
        <v>162</v>
      </c>
      <c r="AZ61" s="134" t="str">
        <f t="shared" si="12"/>
        <v>BretagneAutresPrunier</v>
      </c>
      <c r="BB61" s="563" t="s">
        <v>3290</v>
      </c>
      <c r="BC61" s="36" t="s">
        <v>781</v>
      </c>
      <c r="BD61" s="36">
        <v>82</v>
      </c>
      <c r="BE61" s="36" t="s">
        <v>31</v>
      </c>
      <c r="BF61" s="36" t="s">
        <v>865</v>
      </c>
      <c r="BG61" s="36"/>
      <c r="BH61" s="36" t="s">
        <v>640</v>
      </c>
      <c r="BI61" s="36" t="s">
        <v>792</v>
      </c>
    </row>
    <row r="62" spans="49:61" x14ac:dyDescent="0.3">
      <c r="AW62" s="134" t="s">
        <v>15</v>
      </c>
      <c r="AX62" s="134" t="s">
        <v>132</v>
      </c>
      <c r="AY62" s="134" t="s">
        <v>132</v>
      </c>
      <c r="AZ62" s="134" t="str">
        <f t="shared" si="12"/>
        <v>BretagneCerisierCerisier</v>
      </c>
      <c r="BB62" s="563" t="s">
        <v>3291</v>
      </c>
      <c r="BC62" s="36" t="s">
        <v>783</v>
      </c>
      <c r="BD62" s="36">
        <v>52</v>
      </c>
      <c r="BE62" s="36" t="s">
        <v>841</v>
      </c>
      <c r="BF62" s="36" t="s">
        <v>27</v>
      </c>
      <c r="BG62" s="36"/>
      <c r="BH62" s="36" t="s">
        <v>640</v>
      </c>
      <c r="BI62" s="36" t="s">
        <v>793</v>
      </c>
    </row>
    <row r="63" spans="49:61" x14ac:dyDescent="0.3">
      <c r="AW63" s="134" t="s">
        <v>15</v>
      </c>
      <c r="AX63" s="134" t="s">
        <v>145</v>
      </c>
      <c r="AY63" s="134" t="s">
        <v>145</v>
      </c>
      <c r="AZ63" s="134" t="str">
        <f t="shared" si="12"/>
        <v>BretagneMirabellierMirabellier</v>
      </c>
      <c r="BB63" s="563" t="s">
        <v>3292</v>
      </c>
      <c r="BC63" s="36" t="s">
        <v>784</v>
      </c>
      <c r="BD63" s="36">
        <v>24</v>
      </c>
      <c r="BE63" s="36" t="s">
        <v>16</v>
      </c>
      <c r="BF63" s="36" t="s">
        <v>867</v>
      </c>
      <c r="BG63" s="36"/>
      <c r="BH63" s="36" t="s">
        <v>654</v>
      </c>
      <c r="BI63" s="36" t="s">
        <v>794</v>
      </c>
    </row>
    <row r="64" spans="49:61" x14ac:dyDescent="0.3">
      <c r="AW64" s="134" t="s">
        <v>15</v>
      </c>
      <c r="AX64" s="134" t="s">
        <v>151</v>
      </c>
      <c r="AY64" s="134" t="s">
        <v>635</v>
      </c>
      <c r="AZ64" s="134" t="str">
        <f t="shared" si="12"/>
        <v>BretagneNectarinierNectarinier-Pêcher</v>
      </c>
      <c r="BB64" s="563" t="s">
        <v>3293</v>
      </c>
      <c r="BC64" s="36" t="s">
        <v>780</v>
      </c>
      <c r="BD64" s="36">
        <v>24</v>
      </c>
      <c r="BE64" s="36" t="s">
        <v>16</v>
      </c>
      <c r="BF64" s="36" t="s">
        <v>867</v>
      </c>
      <c r="BG64" s="36"/>
      <c r="BH64" s="36" t="s">
        <v>640</v>
      </c>
      <c r="BI64" s="36" t="s">
        <v>795</v>
      </c>
    </row>
    <row r="65" spans="49:61" x14ac:dyDescent="0.3">
      <c r="AW65" s="134" t="s">
        <v>15</v>
      </c>
      <c r="AX65" s="134" t="s">
        <v>154</v>
      </c>
      <c r="AY65" s="134" t="s">
        <v>154</v>
      </c>
      <c r="AZ65" s="134" t="str">
        <f t="shared" si="12"/>
        <v>BretagneNoyerNoyer</v>
      </c>
      <c r="BB65" s="563" t="s">
        <v>3294</v>
      </c>
      <c r="BC65" s="36" t="s">
        <v>785</v>
      </c>
      <c r="BD65" s="36">
        <v>73</v>
      </c>
      <c r="BE65" s="36" t="s">
        <v>25</v>
      </c>
      <c r="BF65" s="36" t="s">
        <v>872</v>
      </c>
      <c r="BG65" s="36"/>
      <c r="BH65" s="36" t="s">
        <v>653</v>
      </c>
      <c r="BI65" s="36" t="s">
        <v>796</v>
      </c>
    </row>
    <row r="66" spans="49:61" x14ac:dyDescent="0.3">
      <c r="AW66" s="134" t="s">
        <v>15</v>
      </c>
      <c r="AX66" s="134" t="s">
        <v>158</v>
      </c>
      <c r="AY66" s="134" t="s">
        <v>635</v>
      </c>
      <c r="AZ66" s="134" t="str">
        <f t="shared" si="12"/>
        <v>BretagnePêcherNectarinier-Pêcher</v>
      </c>
      <c r="BB66" s="563" t="s">
        <v>3295</v>
      </c>
      <c r="BC66" s="36" t="s">
        <v>50</v>
      </c>
      <c r="BD66" s="36">
        <v>72</v>
      </c>
      <c r="BE66" s="36" t="s">
        <v>11</v>
      </c>
      <c r="BF66" s="36" t="s">
        <v>871</v>
      </c>
      <c r="BG66" s="36"/>
      <c r="BH66" s="36" t="s">
        <v>654</v>
      </c>
      <c r="BI66" s="36" t="s">
        <v>797</v>
      </c>
    </row>
    <row r="67" spans="49:61" x14ac:dyDescent="0.3">
      <c r="AW67" s="134" t="s">
        <v>15</v>
      </c>
      <c r="AX67" s="134" t="s">
        <v>159</v>
      </c>
      <c r="AY67" s="134" t="s">
        <v>159</v>
      </c>
      <c r="AZ67" s="134" t="str">
        <f t="shared" si="12"/>
        <v>BretagnePoirierPoirier</v>
      </c>
      <c r="BB67" s="563" t="s">
        <v>3296</v>
      </c>
      <c r="BC67" s="36" t="s">
        <v>786</v>
      </c>
      <c r="BD67" s="36">
        <v>91</v>
      </c>
      <c r="BE67" s="36" t="s">
        <v>22</v>
      </c>
      <c r="BF67" s="36" t="s">
        <v>872</v>
      </c>
      <c r="BG67" s="36"/>
      <c r="BH67" s="36" t="s">
        <v>654</v>
      </c>
      <c r="BI67" s="36" t="s">
        <v>798</v>
      </c>
    </row>
    <row r="68" spans="49:61" x14ac:dyDescent="0.3">
      <c r="AW68" s="134" t="s">
        <v>15</v>
      </c>
      <c r="AX68" s="134" t="s">
        <v>161</v>
      </c>
      <c r="AY68" s="134" t="s">
        <v>161</v>
      </c>
      <c r="AZ68" s="134" t="str">
        <f t="shared" si="12"/>
        <v>BretagnePommierPommier</v>
      </c>
      <c r="BB68" s="563" t="s">
        <v>3297</v>
      </c>
      <c r="BC68" s="36" t="s">
        <v>787</v>
      </c>
      <c r="BD68" s="36">
        <v>52</v>
      </c>
      <c r="BE68" s="36" t="s">
        <v>841</v>
      </c>
      <c r="BF68" s="36" t="s">
        <v>27</v>
      </c>
      <c r="BG68" s="36"/>
      <c r="BH68" s="36" t="s">
        <v>654</v>
      </c>
      <c r="BI68" s="36" t="s">
        <v>799</v>
      </c>
    </row>
    <row r="69" spans="49:61" x14ac:dyDescent="0.3">
      <c r="AW69" s="134" t="s">
        <v>15</v>
      </c>
      <c r="AX69" s="134" t="s">
        <v>162</v>
      </c>
      <c r="AY69" s="134" t="s">
        <v>162</v>
      </c>
      <c r="AZ69" s="134" t="str">
        <f t="shared" si="12"/>
        <v>BretagnePrunierPrunier</v>
      </c>
      <c r="BB69" s="563" t="s">
        <v>3298</v>
      </c>
      <c r="BC69" s="36" t="s">
        <v>788</v>
      </c>
      <c r="BD69" s="36">
        <v>25</v>
      </c>
      <c r="BE69" s="36" t="s">
        <v>13</v>
      </c>
      <c r="BF69" s="36" t="s">
        <v>870</v>
      </c>
      <c r="BG69" s="36"/>
      <c r="BH69" s="36" t="s">
        <v>654</v>
      </c>
      <c r="BI69" s="36" t="s">
        <v>800</v>
      </c>
    </row>
    <row r="70" spans="49:61" x14ac:dyDescent="0.3">
      <c r="AW70" s="134" t="s">
        <v>16</v>
      </c>
      <c r="AX70" s="134" t="s">
        <v>127</v>
      </c>
      <c r="AY70" s="134" t="s">
        <v>127</v>
      </c>
      <c r="AZ70" s="134" t="str">
        <f t="shared" ref="AZ70:AZ133" si="18">AW70&amp;AX70&amp;AY70</f>
        <v>CentreAbricotierAbricotier</v>
      </c>
      <c r="BB70" s="563" t="s">
        <v>3299</v>
      </c>
      <c r="BC70" s="36" t="s">
        <v>789</v>
      </c>
      <c r="BD70" s="36">
        <v>21</v>
      </c>
      <c r="BE70" s="36" t="s">
        <v>17</v>
      </c>
      <c r="BF70" s="36" t="s">
        <v>868</v>
      </c>
      <c r="BG70" s="36"/>
      <c r="BH70" s="36" t="s">
        <v>653</v>
      </c>
      <c r="BI70" s="36" t="s">
        <v>801</v>
      </c>
    </row>
    <row r="71" spans="49:61" x14ac:dyDescent="0.3">
      <c r="AW71" s="134" t="s">
        <v>16</v>
      </c>
      <c r="AX71" s="134" t="s">
        <v>634</v>
      </c>
      <c r="AY71" s="134" t="s">
        <v>135</v>
      </c>
      <c r="AZ71" s="134" t="str">
        <f t="shared" si="18"/>
        <v>CentreAgrumesClémentinier</v>
      </c>
      <c r="BB71" s="563" t="s">
        <v>3300</v>
      </c>
      <c r="BC71" s="36" t="s">
        <v>286</v>
      </c>
      <c r="BD71" s="36">
        <v>2</v>
      </c>
      <c r="BE71" s="36" t="s">
        <v>286</v>
      </c>
      <c r="BF71" s="36" t="s">
        <v>286</v>
      </c>
      <c r="BG71" s="36"/>
      <c r="BH71" s="36" t="s">
        <v>651</v>
      </c>
      <c r="BI71" s="36" t="s">
        <v>802</v>
      </c>
    </row>
    <row r="72" spans="49:61" x14ac:dyDescent="0.3">
      <c r="AW72" s="134" t="s">
        <v>16</v>
      </c>
      <c r="AX72" s="134" t="s">
        <v>170</v>
      </c>
      <c r="AY72" s="134" t="s">
        <v>162</v>
      </c>
      <c r="AZ72" s="134" t="str">
        <f t="shared" si="18"/>
        <v>CentreAutresPrunier</v>
      </c>
      <c r="BB72" s="563" t="s">
        <v>3301</v>
      </c>
      <c r="BC72" s="36" t="s">
        <v>791</v>
      </c>
      <c r="BD72" s="36">
        <v>52</v>
      </c>
      <c r="BE72" s="36" t="s">
        <v>841</v>
      </c>
      <c r="BF72" s="36" t="s">
        <v>27</v>
      </c>
      <c r="BG72" s="36"/>
      <c r="BH72" s="36" t="s">
        <v>651</v>
      </c>
      <c r="BI72" s="36" t="s">
        <v>803</v>
      </c>
    </row>
    <row r="73" spans="49:61" x14ac:dyDescent="0.3">
      <c r="AW73" s="134" t="s">
        <v>16</v>
      </c>
      <c r="AX73" s="134" t="s">
        <v>132</v>
      </c>
      <c r="AY73" s="134" t="s">
        <v>132</v>
      </c>
      <c r="AZ73" s="134" t="str">
        <f t="shared" si="18"/>
        <v>CentreCerisierCerisier</v>
      </c>
      <c r="BB73" s="563" t="s">
        <v>3302</v>
      </c>
      <c r="BC73" s="36" t="s">
        <v>836</v>
      </c>
      <c r="BD73" s="36">
        <v>6</v>
      </c>
      <c r="BE73" s="36" t="s">
        <v>836</v>
      </c>
      <c r="BF73" s="36" t="s">
        <v>836</v>
      </c>
      <c r="BG73" s="36"/>
      <c r="BH73" s="36" t="s">
        <v>22</v>
      </c>
      <c r="BI73" s="36" t="s">
        <v>56</v>
      </c>
    </row>
    <row r="74" spans="49:61" x14ac:dyDescent="0.3">
      <c r="AW74" s="134" t="s">
        <v>16</v>
      </c>
      <c r="AX74" s="134" t="s">
        <v>145</v>
      </c>
      <c r="AY74" s="134" t="s">
        <v>145</v>
      </c>
      <c r="AZ74" s="134" t="str">
        <f t="shared" si="18"/>
        <v>CentreMirabellierMirabellier</v>
      </c>
      <c r="BB74" s="563" t="s">
        <v>3303</v>
      </c>
      <c r="BC74" s="36" t="s">
        <v>792</v>
      </c>
      <c r="BD74" s="36">
        <v>41</v>
      </c>
      <c r="BE74" s="36" t="s">
        <v>24</v>
      </c>
      <c r="BF74" s="36" t="s">
        <v>868</v>
      </c>
      <c r="BG74" s="36"/>
      <c r="BH74" s="36" t="s">
        <v>10</v>
      </c>
      <c r="BI74" s="36" t="s">
        <v>804</v>
      </c>
    </row>
    <row r="75" spans="49:61" x14ac:dyDescent="0.3">
      <c r="AW75" s="134" t="s">
        <v>16</v>
      </c>
      <c r="AX75" s="134" t="s">
        <v>151</v>
      </c>
      <c r="AY75" s="134" t="s">
        <v>635</v>
      </c>
      <c r="AZ75" s="134" t="str">
        <f t="shared" si="18"/>
        <v>CentreNectarinierNectarinier-Pêcher</v>
      </c>
      <c r="BB75" s="563" t="s">
        <v>3304</v>
      </c>
      <c r="BC75" s="36" t="s">
        <v>793</v>
      </c>
      <c r="BD75" s="36">
        <v>41</v>
      </c>
      <c r="BE75" s="36" t="s">
        <v>24</v>
      </c>
      <c r="BF75" s="36" t="s">
        <v>868</v>
      </c>
      <c r="BG75" s="36"/>
      <c r="BH75" s="36" t="s">
        <v>10</v>
      </c>
      <c r="BI75" s="36" t="s">
        <v>805</v>
      </c>
    </row>
    <row r="76" spans="49:61" x14ac:dyDescent="0.3">
      <c r="AW76" s="134" t="s">
        <v>16</v>
      </c>
      <c r="AX76" s="134" t="s">
        <v>154</v>
      </c>
      <c r="AY76" s="134" t="s">
        <v>154</v>
      </c>
      <c r="AZ76" s="134" t="str">
        <f t="shared" si="18"/>
        <v>CentreNoyerNoyer</v>
      </c>
      <c r="BB76" s="563" t="s">
        <v>3305</v>
      </c>
      <c r="BC76" s="36" t="s">
        <v>794</v>
      </c>
      <c r="BD76" s="36">
        <v>53</v>
      </c>
      <c r="BE76" s="36" t="s">
        <v>15</v>
      </c>
      <c r="BF76" s="36" t="s">
        <v>15</v>
      </c>
      <c r="BG76" s="36"/>
      <c r="BH76" s="36" t="s">
        <v>51</v>
      </c>
      <c r="BI76" s="36" t="s">
        <v>3094</v>
      </c>
    </row>
    <row r="77" spans="49:61" x14ac:dyDescent="0.3">
      <c r="AW77" s="134" t="s">
        <v>16</v>
      </c>
      <c r="AX77" s="134" t="s">
        <v>158</v>
      </c>
      <c r="AY77" s="134" t="s">
        <v>635</v>
      </c>
      <c r="AZ77" s="134" t="str">
        <f t="shared" si="18"/>
        <v>CentrePêcherNectarinier-Pêcher</v>
      </c>
      <c r="BB77" s="563" t="s">
        <v>3306</v>
      </c>
      <c r="BC77" s="36" t="s">
        <v>795</v>
      </c>
      <c r="BD77" s="36">
        <v>41</v>
      </c>
      <c r="BE77" s="36" t="s">
        <v>24</v>
      </c>
      <c r="BF77" s="36" t="s">
        <v>868</v>
      </c>
      <c r="BG77" s="36"/>
      <c r="BH77" s="36" t="s">
        <v>649</v>
      </c>
      <c r="BI77" s="36" t="s">
        <v>3095</v>
      </c>
    </row>
    <row r="78" spans="49:61" x14ac:dyDescent="0.3">
      <c r="AW78" s="134" t="s">
        <v>16</v>
      </c>
      <c r="AX78" s="134" t="s">
        <v>159</v>
      </c>
      <c r="AY78" s="134" t="s">
        <v>159</v>
      </c>
      <c r="AZ78" s="134" t="str">
        <f t="shared" si="18"/>
        <v>CentrePoirierPoirier</v>
      </c>
      <c r="BB78" s="563" t="s">
        <v>3307</v>
      </c>
      <c r="BC78" s="36" t="s">
        <v>796</v>
      </c>
      <c r="BD78" s="36">
        <v>26</v>
      </c>
      <c r="BE78" s="36" t="s">
        <v>14</v>
      </c>
      <c r="BF78" s="36" t="s">
        <v>866</v>
      </c>
      <c r="BG78" s="36"/>
      <c r="BH78" s="36" t="s">
        <v>644</v>
      </c>
      <c r="BI78" s="36" t="s">
        <v>809</v>
      </c>
    </row>
    <row r="79" spans="49:61" x14ac:dyDescent="0.3">
      <c r="AW79" s="134" t="s">
        <v>16</v>
      </c>
      <c r="AX79" s="134" t="s">
        <v>161</v>
      </c>
      <c r="AY79" s="134" t="s">
        <v>161</v>
      </c>
      <c r="AZ79" s="134" t="str">
        <f t="shared" si="18"/>
        <v>CentrePommierPommier</v>
      </c>
      <c r="BB79" s="563" t="s">
        <v>3308</v>
      </c>
      <c r="BC79" s="36" t="s">
        <v>797</v>
      </c>
      <c r="BD79" s="36">
        <v>31</v>
      </c>
      <c r="BE79" s="36" t="s">
        <v>842</v>
      </c>
      <c r="BF79" s="36" t="s">
        <v>869</v>
      </c>
      <c r="BG79" s="36"/>
      <c r="BH79" s="36" t="s">
        <v>51</v>
      </c>
      <c r="BI79" s="36" t="s">
        <v>3090</v>
      </c>
    </row>
    <row r="80" spans="49:61" x14ac:dyDescent="0.3">
      <c r="AW80" s="134" t="s">
        <v>16</v>
      </c>
      <c r="AX80" s="134" t="s">
        <v>162</v>
      </c>
      <c r="AY80" s="134" t="s">
        <v>162</v>
      </c>
      <c r="AZ80" s="134" t="str">
        <f t="shared" si="18"/>
        <v>CentrePrunierPrunier</v>
      </c>
      <c r="BB80" s="563" t="s">
        <v>3309</v>
      </c>
      <c r="BC80" s="36" t="s">
        <v>3086</v>
      </c>
      <c r="BD80" s="36">
        <v>988</v>
      </c>
      <c r="BE80" s="36" t="s">
        <v>3086</v>
      </c>
      <c r="BF80" s="36" t="s">
        <v>3086</v>
      </c>
      <c r="BG80" s="36"/>
      <c r="BH80" s="36" t="s">
        <v>14</v>
      </c>
      <c r="BI80" s="36" t="s">
        <v>3079</v>
      </c>
    </row>
    <row r="81" spans="49:61" x14ac:dyDescent="0.3">
      <c r="AW81" s="134" t="s">
        <v>17</v>
      </c>
      <c r="AX81" s="134" t="s">
        <v>127</v>
      </c>
      <c r="AY81" s="134" t="s">
        <v>127</v>
      </c>
      <c r="AZ81" s="134" t="str">
        <f t="shared" si="18"/>
        <v>Champagne-ArdenneAbricotierAbricotier</v>
      </c>
      <c r="BB81" s="563" t="s">
        <v>3310</v>
      </c>
      <c r="BC81" s="36" t="s">
        <v>798</v>
      </c>
      <c r="BD81" s="36">
        <v>22</v>
      </c>
      <c r="BE81" s="36" t="s">
        <v>28</v>
      </c>
      <c r="BF81" s="36" t="s">
        <v>869</v>
      </c>
      <c r="BG81" s="36"/>
      <c r="BH81" s="36" t="s">
        <v>653</v>
      </c>
      <c r="BI81" s="36" t="s">
        <v>811</v>
      </c>
    </row>
    <row r="82" spans="49:61" x14ac:dyDescent="0.3">
      <c r="AW82" s="134" t="s">
        <v>17</v>
      </c>
      <c r="AX82" s="134" t="s">
        <v>634</v>
      </c>
      <c r="AY82" s="134" t="s">
        <v>135</v>
      </c>
      <c r="AZ82" s="134" t="str">
        <f t="shared" si="18"/>
        <v>Champagne-ArdenneAgrumesClémentinier</v>
      </c>
      <c r="BB82" s="563" t="s">
        <v>3311</v>
      </c>
      <c r="BC82" s="36" t="s">
        <v>799</v>
      </c>
      <c r="BD82" s="36">
        <v>25</v>
      </c>
      <c r="BE82" s="36" t="s">
        <v>13</v>
      </c>
      <c r="BF82" s="36" t="s">
        <v>870</v>
      </c>
      <c r="BG82" s="36"/>
      <c r="BH82" s="36" t="s">
        <v>52</v>
      </c>
      <c r="BI82" s="36" t="s">
        <v>812</v>
      </c>
    </row>
    <row r="83" spans="49:61" x14ac:dyDescent="0.3">
      <c r="AW83" s="134" t="s">
        <v>17</v>
      </c>
      <c r="AX83" s="134" t="s">
        <v>170</v>
      </c>
      <c r="AY83" s="134" t="s">
        <v>162</v>
      </c>
      <c r="AZ83" s="134" t="str">
        <f t="shared" si="18"/>
        <v>Champagne-ArdenneAutresPrunier</v>
      </c>
      <c r="BB83" s="563" t="s">
        <v>3312</v>
      </c>
      <c r="BC83" s="36" t="s">
        <v>814</v>
      </c>
      <c r="BD83" s="36">
        <v>11</v>
      </c>
      <c r="BE83" s="36" t="s">
        <v>843</v>
      </c>
      <c r="BF83" s="36" t="s">
        <v>292</v>
      </c>
      <c r="BG83" s="36"/>
      <c r="BH83" s="36" t="s">
        <v>52</v>
      </c>
      <c r="BI83" s="36" t="s">
        <v>813</v>
      </c>
    </row>
    <row r="84" spans="49:61" x14ac:dyDescent="0.3">
      <c r="AW84" s="134" t="s">
        <v>17</v>
      </c>
      <c r="AX84" s="134" t="s">
        <v>132</v>
      </c>
      <c r="AY84" s="134" t="s">
        <v>132</v>
      </c>
      <c r="AZ84" s="134" t="str">
        <f t="shared" si="18"/>
        <v>Champagne-ArdenneCerisierCerisier</v>
      </c>
      <c r="BB84" s="563" t="s">
        <v>3313</v>
      </c>
      <c r="BC84" s="36" t="s">
        <v>800</v>
      </c>
      <c r="BD84" s="36">
        <v>31</v>
      </c>
      <c r="BE84" s="36" t="s">
        <v>842</v>
      </c>
      <c r="BF84" s="36" t="s">
        <v>869</v>
      </c>
      <c r="BG84" s="36"/>
      <c r="BH84" s="36" t="s">
        <v>654</v>
      </c>
      <c r="BI84" s="36" t="s">
        <v>814</v>
      </c>
    </row>
    <row r="85" spans="49:61" x14ac:dyDescent="0.3">
      <c r="AW85" s="134" t="s">
        <v>17</v>
      </c>
      <c r="AX85" s="134" t="s">
        <v>145</v>
      </c>
      <c r="AY85" s="134" t="s">
        <v>145</v>
      </c>
      <c r="AZ85" s="134" t="str">
        <f t="shared" si="18"/>
        <v>Champagne-ArdenneMirabellierMirabellier</v>
      </c>
      <c r="BB85" s="563" t="s">
        <v>3314</v>
      </c>
      <c r="BC85" s="36" t="s">
        <v>3085</v>
      </c>
      <c r="BD85" s="36">
        <v>987</v>
      </c>
      <c r="BE85" s="36" t="s">
        <v>3085</v>
      </c>
      <c r="BF85" s="36" t="s">
        <v>3085</v>
      </c>
      <c r="BG85" s="36"/>
      <c r="BH85" s="36" t="s">
        <v>654</v>
      </c>
      <c r="BI85" s="36" t="s">
        <v>815</v>
      </c>
    </row>
    <row r="86" spans="49:61" x14ac:dyDescent="0.3">
      <c r="AW86" s="134" t="s">
        <v>17</v>
      </c>
      <c r="AX86" s="134" t="s">
        <v>151</v>
      </c>
      <c r="AY86" s="134" t="s">
        <v>635</v>
      </c>
      <c r="AZ86" s="134" t="str">
        <f t="shared" si="18"/>
        <v>Champagne-ArdenneNectarinierNectarinier-Pêcher</v>
      </c>
      <c r="BB86" s="563" t="s">
        <v>3315</v>
      </c>
      <c r="BC86" s="36" t="s">
        <v>801</v>
      </c>
      <c r="BD86" s="36">
        <v>83</v>
      </c>
      <c r="BE86" s="36" t="s">
        <v>12</v>
      </c>
      <c r="BF86" s="36" t="s">
        <v>865</v>
      </c>
      <c r="BG86" s="36"/>
      <c r="BH86" s="36" t="s">
        <v>645</v>
      </c>
      <c r="BI86" s="36" t="s">
        <v>816</v>
      </c>
    </row>
    <row r="87" spans="49:61" x14ac:dyDescent="0.3">
      <c r="AW87" s="134" t="s">
        <v>17</v>
      </c>
      <c r="AX87" s="134" t="s">
        <v>154</v>
      </c>
      <c r="AY87" s="134" t="s">
        <v>154</v>
      </c>
      <c r="AZ87" s="134" t="str">
        <f t="shared" si="18"/>
        <v>Champagne-ArdenneNoyerNoyer</v>
      </c>
      <c r="BB87" s="563" t="s">
        <v>3316</v>
      </c>
      <c r="BC87" s="36" t="s">
        <v>802</v>
      </c>
      <c r="BD87" s="36">
        <v>72</v>
      </c>
      <c r="BE87" s="36" t="s">
        <v>11</v>
      </c>
      <c r="BF87" s="36" t="s">
        <v>871</v>
      </c>
      <c r="BG87" s="36"/>
      <c r="BH87" s="36" t="s">
        <v>654</v>
      </c>
      <c r="BI87" s="36" t="s">
        <v>817</v>
      </c>
    </row>
    <row r="88" spans="49:61" x14ac:dyDescent="0.3">
      <c r="AW88" s="134" t="s">
        <v>17</v>
      </c>
      <c r="AX88" s="134" t="s">
        <v>158</v>
      </c>
      <c r="AY88" s="134" t="s">
        <v>635</v>
      </c>
      <c r="AZ88" s="134" t="str">
        <f t="shared" si="18"/>
        <v>Champagne-ArdennePêcherNectarinier-Pêcher</v>
      </c>
      <c r="BB88" s="563" t="s">
        <v>3317</v>
      </c>
      <c r="BC88" s="36" t="s">
        <v>56</v>
      </c>
      <c r="BD88" s="36">
        <v>91</v>
      </c>
      <c r="BE88" s="36" t="s">
        <v>22</v>
      </c>
      <c r="BF88" s="36" t="s">
        <v>872</v>
      </c>
      <c r="BG88" s="36"/>
      <c r="BH88" s="36" t="s">
        <v>653</v>
      </c>
      <c r="BI88" s="36" t="s">
        <v>818</v>
      </c>
    </row>
    <row r="89" spans="49:61" x14ac:dyDescent="0.3">
      <c r="AW89" s="134" t="s">
        <v>17</v>
      </c>
      <c r="AX89" s="134" t="s">
        <v>159</v>
      </c>
      <c r="AY89" s="134" t="s">
        <v>159</v>
      </c>
      <c r="AZ89" s="134" t="str">
        <f t="shared" si="18"/>
        <v>Champagne-ArdennePoirierPoirier</v>
      </c>
      <c r="BB89" s="563" t="s">
        <v>3318</v>
      </c>
      <c r="BC89" s="36" t="s">
        <v>806</v>
      </c>
      <c r="BD89" s="36">
        <v>82</v>
      </c>
      <c r="BE89" s="36" t="s">
        <v>31</v>
      </c>
      <c r="BF89" s="36" t="s">
        <v>865</v>
      </c>
      <c r="BG89" s="36"/>
      <c r="BH89" s="36" t="s">
        <v>654</v>
      </c>
      <c r="BI89" s="36" t="s">
        <v>819</v>
      </c>
    </row>
    <row r="90" spans="49:61" x14ac:dyDescent="0.3">
      <c r="AW90" s="134" t="s">
        <v>17</v>
      </c>
      <c r="AX90" s="134" t="s">
        <v>161</v>
      </c>
      <c r="AY90" s="134" t="s">
        <v>161</v>
      </c>
      <c r="AZ90" s="134" t="str">
        <f t="shared" si="18"/>
        <v>Champagne-ArdennePommierPommier</v>
      </c>
      <c r="BB90" s="563" t="s">
        <v>3319</v>
      </c>
      <c r="BC90" s="36" t="s">
        <v>3081</v>
      </c>
      <c r="BD90" s="36">
        <v>977</v>
      </c>
      <c r="BE90" s="36" t="s">
        <v>3081</v>
      </c>
      <c r="BF90" s="36" t="s">
        <v>3081</v>
      </c>
      <c r="BG90" s="36"/>
      <c r="BH90" s="36" t="s">
        <v>58</v>
      </c>
      <c r="BI90" s="36" t="s">
        <v>820</v>
      </c>
    </row>
    <row r="91" spans="49:61" x14ac:dyDescent="0.3">
      <c r="AW91" s="134" t="s">
        <v>17</v>
      </c>
      <c r="AX91" s="134" t="s">
        <v>162</v>
      </c>
      <c r="AY91" s="134" t="s">
        <v>162</v>
      </c>
      <c r="AZ91" s="134" t="str">
        <f t="shared" si="18"/>
        <v>Champagne-ArdennePrunierPrunier</v>
      </c>
      <c r="BB91" s="563" t="s">
        <v>3320</v>
      </c>
      <c r="BC91" s="36" t="s">
        <v>3082</v>
      </c>
      <c r="BD91" s="36">
        <v>978</v>
      </c>
      <c r="BE91" s="36" t="s">
        <v>3082</v>
      </c>
      <c r="BF91" s="36" t="s">
        <v>3082</v>
      </c>
      <c r="BG91" s="36"/>
      <c r="BH91" s="36" t="s">
        <v>651</v>
      </c>
      <c r="BI91" s="36" t="s">
        <v>821</v>
      </c>
    </row>
    <row r="92" spans="49:61" x14ac:dyDescent="0.3">
      <c r="AW92" s="134" t="s">
        <v>18</v>
      </c>
      <c r="AX92" s="134" t="s">
        <v>127</v>
      </c>
      <c r="AY92" s="134" t="s">
        <v>127</v>
      </c>
      <c r="AZ92" s="134" t="str">
        <f t="shared" si="18"/>
        <v>CorseAbricotierAbricotier</v>
      </c>
      <c r="BB92" s="563" t="s">
        <v>3321</v>
      </c>
      <c r="BC92" s="36" t="s">
        <v>3080</v>
      </c>
      <c r="BD92" s="36">
        <v>975</v>
      </c>
      <c r="BE92" s="36" t="s">
        <v>3080</v>
      </c>
      <c r="BF92" s="36" t="s">
        <v>3080</v>
      </c>
      <c r="BG92" s="36"/>
      <c r="BH92" s="36" t="s">
        <v>61</v>
      </c>
      <c r="BI92" s="36" t="s">
        <v>822</v>
      </c>
    </row>
    <row r="93" spans="49:61" x14ac:dyDescent="0.3">
      <c r="AW93" s="134" t="s">
        <v>18</v>
      </c>
      <c r="AX93" s="134" t="s">
        <v>634</v>
      </c>
      <c r="AY93" s="134" t="s">
        <v>135</v>
      </c>
      <c r="AZ93" s="134" t="str">
        <f t="shared" si="18"/>
        <v>CorseAgrumesClémentinier</v>
      </c>
      <c r="BB93" s="563" t="s">
        <v>3322</v>
      </c>
      <c r="BC93" s="36" t="s">
        <v>810</v>
      </c>
      <c r="BD93" s="36">
        <v>26</v>
      </c>
      <c r="BE93" s="36" t="s">
        <v>14</v>
      </c>
      <c r="BF93" s="36" t="s">
        <v>866</v>
      </c>
      <c r="BG93" s="36"/>
      <c r="BH93" s="36" t="s">
        <v>61</v>
      </c>
      <c r="BI93" s="36" t="s">
        <v>823</v>
      </c>
    </row>
    <row r="94" spans="49:61" x14ac:dyDescent="0.3">
      <c r="AW94" s="134" t="s">
        <v>18</v>
      </c>
      <c r="AX94" s="134" t="s">
        <v>170</v>
      </c>
      <c r="AY94" s="134" t="s">
        <v>162</v>
      </c>
      <c r="AZ94" s="134" t="str">
        <f t="shared" si="18"/>
        <v>CorseAutresPrunier</v>
      </c>
      <c r="BB94" s="563" t="s">
        <v>3323</v>
      </c>
      <c r="BC94" s="36" t="s">
        <v>811</v>
      </c>
      <c r="BD94" s="36">
        <v>52</v>
      </c>
      <c r="BE94" s="36" t="s">
        <v>841</v>
      </c>
      <c r="BF94" s="36" t="s">
        <v>27</v>
      </c>
      <c r="BG94" s="36"/>
      <c r="BH94" s="36" t="s">
        <v>653</v>
      </c>
      <c r="BI94" s="36" t="s">
        <v>824</v>
      </c>
    </row>
    <row r="95" spans="49:61" x14ac:dyDescent="0.3">
      <c r="AW95" s="134" t="s">
        <v>18</v>
      </c>
      <c r="AX95" s="134" t="s">
        <v>132</v>
      </c>
      <c r="AY95" s="134" t="s">
        <v>132</v>
      </c>
      <c r="AZ95" s="134" t="str">
        <f t="shared" si="18"/>
        <v>CorseCerisierCerisier</v>
      </c>
      <c r="BB95" s="563" t="s">
        <v>3324</v>
      </c>
      <c r="BC95" s="36" t="s">
        <v>812</v>
      </c>
      <c r="BD95" s="36">
        <v>82</v>
      </c>
      <c r="BE95" s="36" t="s">
        <v>31</v>
      </c>
      <c r="BF95" s="36" t="s">
        <v>865</v>
      </c>
      <c r="BG95" s="36"/>
      <c r="BH95" s="36" t="s">
        <v>653</v>
      </c>
      <c r="BI95" s="36" t="s">
        <v>825</v>
      </c>
    </row>
    <row r="96" spans="49:61" x14ac:dyDescent="0.3">
      <c r="AW96" s="134" t="s">
        <v>18</v>
      </c>
      <c r="AX96" s="134" t="s">
        <v>145</v>
      </c>
      <c r="AY96" s="134" t="s">
        <v>145</v>
      </c>
      <c r="AZ96" s="134" t="str">
        <f t="shared" si="18"/>
        <v>CorseMirabellierMirabellier</v>
      </c>
      <c r="BB96" s="563" t="s">
        <v>3325</v>
      </c>
      <c r="BC96" s="36" t="s">
        <v>816</v>
      </c>
      <c r="BD96" s="36">
        <v>11</v>
      </c>
      <c r="BE96" s="36" t="s">
        <v>843</v>
      </c>
      <c r="BF96" s="36" t="s">
        <v>292</v>
      </c>
      <c r="BG96" s="36"/>
      <c r="BH96" s="36" t="s">
        <v>654</v>
      </c>
      <c r="BI96" s="36" t="s">
        <v>826</v>
      </c>
    </row>
    <row r="97" spans="49:61" x14ac:dyDescent="0.3">
      <c r="AW97" s="134" t="s">
        <v>18</v>
      </c>
      <c r="AX97" s="134" t="s">
        <v>151</v>
      </c>
      <c r="AY97" s="134" t="s">
        <v>635</v>
      </c>
      <c r="AZ97" s="134" t="str">
        <f t="shared" si="18"/>
        <v>CorseNectarinierNectarinier-Pêcher</v>
      </c>
      <c r="BB97" s="563" t="s">
        <v>3326</v>
      </c>
      <c r="BC97" s="36" t="s">
        <v>815</v>
      </c>
      <c r="BD97" s="36">
        <v>23</v>
      </c>
      <c r="BE97" s="36" t="s">
        <v>20</v>
      </c>
      <c r="BF97" s="36" t="s">
        <v>870</v>
      </c>
      <c r="BG97" s="36"/>
      <c r="BH97" s="36" t="s">
        <v>640</v>
      </c>
      <c r="BI97" s="36" t="s">
        <v>827</v>
      </c>
    </row>
    <row r="98" spans="49:61" x14ac:dyDescent="0.3">
      <c r="AW98" s="134" t="s">
        <v>18</v>
      </c>
      <c r="AX98" s="134" t="s">
        <v>154</v>
      </c>
      <c r="AY98" s="134" t="s">
        <v>154</v>
      </c>
      <c r="AZ98" s="134" t="str">
        <f t="shared" si="18"/>
        <v>CorseNoyerNoyer</v>
      </c>
      <c r="BB98" s="563" t="s">
        <v>3327</v>
      </c>
      <c r="BC98" s="36" t="s">
        <v>832</v>
      </c>
      <c r="BD98" s="36">
        <v>11</v>
      </c>
      <c r="BE98" s="36" t="s">
        <v>843</v>
      </c>
      <c r="BF98" s="36" t="s">
        <v>292</v>
      </c>
      <c r="BG98" s="36"/>
      <c r="BH98" s="36" t="s">
        <v>14</v>
      </c>
      <c r="BI98" s="36" t="s">
        <v>828</v>
      </c>
    </row>
    <row r="99" spans="49:61" x14ac:dyDescent="0.3">
      <c r="AW99" s="134" t="s">
        <v>18</v>
      </c>
      <c r="AX99" s="134" t="s">
        <v>158</v>
      </c>
      <c r="AY99" s="134" t="s">
        <v>635</v>
      </c>
      <c r="AZ99" s="134" t="str">
        <f t="shared" si="18"/>
        <v>CorsePêcherNectarinier-Pêcher</v>
      </c>
      <c r="BB99" s="563" t="s">
        <v>3328</v>
      </c>
      <c r="BC99" s="36" t="s">
        <v>819</v>
      </c>
      <c r="BD99" s="36">
        <v>22</v>
      </c>
      <c r="BE99" s="36" t="s">
        <v>28</v>
      </c>
      <c r="BF99" s="36" t="s">
        <v>869</v>
      </c>
      <c r="BG99" s="36"/>
      <c r="BH99" s="36" t="s">
        <v>654</v>
      </c>
      <c r="BI99" s="36" t="s">
        <v>829</v>
      </c>
    </row>
    <row r="100" spans="49:61" x14ac:dyDescent="0.3">
      <c r="AW100" s="134" t="s">
        <v>18</v>
      </c>
      <c r="AX100" s="134" t="s">
        <v>159</v>
      </c>
      <c r="AY100" s="134" t="s">
        <v>159</v>
      </c>
      <c r="AZ100" s="134" t="str">
        <f t="shared" si="18"/>
        <v>CorsePoirierPoirier</v>
      </c>
      <c r="BB100" s="563" t="s">
        <v>3329</v>
      </c>
      <c r="BC100" s="36" t="s">
        <v>820</v>
      </c>
      <c r="BD100" s="36">
        <v>73</v>
      </c>
      <c r="BE100" s="36" t="s">
        <v>25</v>
      </c>
      <c r="BF100" s="36" t="s">
        <v>872</v>
      </c>
      <c r="BG100" s="36"/>
      <c r="BH100" s="36" t="s">
        <v>654</v>
      </c>
      <c r="BI100" s="36" t="s">
        <v>830</v>
      </c>
    </row>
    <row r="101" spans="49:61" x14ac:dyDescent="0.3">
      <c r="AW101" s="134" t="s">
        <v>18</v>
      </c>
      <c r="AX101" s="134" t="s">
        <v>161</v>
      </c>
      <c r="AY101" s="134" t="s">
        <v>161</v>
      </c>
      <c r="AZ101" s="134" t="str">
        <f t="shared" si="18"/>
        <v>CorsePommierPommier</v>
      </c>
      <c r="BB101" s="563" t="s">
        <v>3330</v>
      </c>
      <c r="BC101" s="36" t="s">
        <v>821</v>
      </c>
      <c r="BD101" s="36">
        <v>73</v>
      </c>
      <c r="BE101" s="36" t="s">
        <v>25</v>
      </c>
      <c r="BF101" s="36" t="s">
        <v>872</v>
      </c>
      <c r="BG101" s="36"/>
      <c r="BH101" s="36" t="s">
        <v>654</v>
      </c>
      <c r="BI101" s="36" t="s">
        <v>831</v>
      </c>
    </row>
    <row r="102" spans="49:61" x14ac:dyDescent="0.3">
      <c r="AW102" s="134" t="s">
        <v>18</v>
      </c>
      <c r="AX102" s="134" t="s">
        <v>162</v>
      </c>
      <c r="AY102" s="134" t="s">
        <v>162</v>
      </c>
      <c r="AZ102" s="134" t="str">
        <f t="shared" si="18"/>
        <v>CorsePrunierPrunier</v>
      </c>
      <c r="BB102" s="563" t="s">
        <v>3331</v>
      </c>
      <c r="BC102" s="36" t="s">
        <v>3083</v>
      </c>
      <c r="BD102" s="36">
        <v>984</v>
      </c>
      <c r="BE102" s="36" t="s">
        <v>3083</v>
      </c>
      <c r="BF102" s="36" t="s">
        <v>3083</v>
      </c>
      <c r="BG102" s="36"/>
      <c r="BH102" s="36" t="s">
        <v>654</v>
      </c>
      <c r="BI102" s="36" t="s">
        <v>832</v>
      </c>
    </row>
    <row r="103" spans="49:61" x14ac:dyDescent="0.3">
      <c r="AW103" s="134" t="s">
        <v>19</v>
      </c>
      <c r="AX103" s="134" t="s">
        <v>127</v>
      </c>
      <c r="AY103" s="134" t="s">
        <v>127</v>
      </c>
      <c r="AZ103" s="134" t="str">
        <f t="shared" si="18"/>
        <v>Franche-ComtéAbricotierAbricotier</v>
      </c>
      <c r="BB103" s="563" t="s">
        <v>3332</v>
      </c>
      <c r="BC103" s="36" t="s">
        <v>829</v>
      </c>
      <c r="BD103" s="36">
        <v>43</v>
      </c>
      <c r="BE103" s="36" t="s">
        <v>19</v>
      </c>
      <c r="BF103" s="36" t="s">
        <v>866</v>
      </c>
      <c r="BG103" s="36"/>
      <c r="BH103" s="36" t="s">
        <v>654</v>
      </c>
      <c r="BI103" s="36" t="s">
        <v>833</v>
      </c>
    </row>
    <row r="104" spans="49:61" x14ac:dyDescent="0.3">
      <c r="AW104" s="134" t="s">
        <v>19</v>
      </c>
      <c r="AX104" s="134" t="s">
        <v>634</v>
      </c>
      <c r="AY104" s="134" t="s">
        <v>135</v>
      </c>
      <c r="AZ104" s="134" t="str">
        <f t="shared" si="18"/>
        <v>Franche-ComtéAgrumesClémentinier</v>
      </c>
      <c r="BB104" s="563" t="s">
        <v>3333</v>
      </c>
      <c r="BC104" s="36" t="s">
        <v>833</v>
      </c>
      <c r="BD104" s="36">
        <v>11</v>
      </c>
      <c r="BE104" s="36" t="s">
        <v>843</v>
      </c>
      <c r="BF104" s="36" t="s">
        <v>292</v>
      </c>
      <c r="BG104" s="36"/>
      <c r="BH104" s="36" t="s">
        <v>654</v>
      </c>
      <c r="BI104" s="36" t="s">
        <v>834</v>
      </c>
    </row>
    <row r="105" spans="49:61" x14ac:dyDescent="0.3">
      <c r="AW105" s="134" t="s">
        <v>19</v>
      </c>
      <c r="AX105" s="134" t="s">
        <v>170</v>
      </c>
      <c r="AY105" s="134" t="s">
        <v>162</v>
      </c>
      <c r="AZ105" s="134" t="str">
        <f t="shared" si="18"/>
        <v>Franche-ComtéAutresPrunier</v>
      </c>
      <c r="BB105" s="563" t="s">
        <v>3334</v>
      </c>
      <c r="BC105" s="36" t="s">
        <v>834</v>
      </c>
      <c r="BD105" s="36">
        <v>11</v>
      </c>
      <c r="BE105" s="36" t="s">
        <v>843</v>
      </c>
      <c r="BF105" s="36" t="s">
        <v>292</v>
      </c>
      <c r="BG105" s="36"/>
      <c r="BH105" s="36" t="s">
        <v>3077</v>
      </c>
      <c r="BI105" s="36" t="s">
        <v>284</v>
      </c>
    </row>
    <row r="106" spans="49:61" x14ac:dyDescent="0.3">
      <c r="AW106" s="134" t="s">
        <v>19</v>
      </c>
      <c r="AX106" s="134" t="s">
        <v>132</v>
      </c>
      <c r="AY106" s="134" t="s">
        <v>132</v>
      </c>
      <c r="AZ106" s="134" t="str">
        <f t="shared" si="18"/>
        <v>Franche-ComtéCerisierCerisier</v>
      </c>
      <c r="BB106" s="563" t="s">
        <v>3335</v>
      </c>
      <c r="BC106" s="36" t="s">
        <v>822</v>
      </c>
      <c r="BD106" s="36">
        <v>93</v>
      </c>
      <c r="BE106" s="36" t="s">
        <v>30</v>
      </c>
      <c r="BF106" s="36" t="s">
        <v>30</v>
      </c>
      <c r="BG106" s="36"/>
      <c r="BH106" s="36" t="s">
        <v>3077</v>
      </c>
      <c r="BI106" s="36" t="s">
        <v>286</v>
      </c>
    </row>
    <row r="107" spans="49:61" x14ac:dyDescent="0.3">
      <c r="AW107" s="134" t="s">
        <v>19</v>
      </c>
      <c r="AX107" s="134" t="s">
        <v>145</v>
      </c>
      <c r="AY107" s="134" t="s">
        <v>145</v>
      </c>
      <c r="AZ107" s="134" t="str">
        <f t="shared" si="18"/>
        <v>Franche-ComtéMirabellierMirabellier</v>
      </c>
      <c r="BB107" s="563" t="s">
        <v>3336</v>
      </c>
      <c r="BC107" s="36" t="s">
        <v>823</v>
      </c>
      <c r="BD107" s="36">
        <v>93</v>
      </c>
      <c r="BE107" s="36" t="s">
        <v>30</v>
      </c>
      <c r="BF107" s="36" t="s">
        <v>30</v>
      </c>
      <c r="BG107" s="36"/>
      <c r="BH107" s="36" t="s">
        <v>3077</v>
      </c>
      <c r="BI107" s="36" t="s">
        <v>285</v>
      </c>
    </row>
    <row r="108" spans="49:61" x14ac:dyDescent="0.3">
      <c r="AW108" s="134" t="s">
        <v>19</v>
      </c>
      <c r="AX108" s="134" t="s">
        <v>151</v>
      </c>
      <c r="AY108" s="134" t="s">
        <v>635</v>
      </c>
      <c r="AZ108" s="134" t="str">
        <f t="shared" si="18"/>
        <v>Franche-ComtéNectarinierNectarinier-Pêcher</v>
      </c>
      <c r="BB108" s="563" t="s">
        <v>3337</v>
      </c>
      <c r="BC108" s="36" t="s">
        <v>824</v>
      </c>
      <c r="BD108" s="36">
        <v>52</v>
      </c>
      <c r="BE108" s="36" t="s">
        <v>841</v>
      </c>
      <c r="BF108" s="36" t="s">
        <v>27</v>
      </c>
      <c r="BG108" s="36"/>
      <c r="BH108" s="36" t="s">
        <v>3077</v>
      </c>
      <c r="BI108" s="36" t="s">
        <v>835</v>
      </c>
    </row>
    <row r="109" spans="49:61" x14ac:dyDescent="0.3">
      <c r="AW109" s="134" t="s">
        <v>19</v>
      </c>
      <c r="AX109" s="134" t="s">
        <v>154</v>
      </c>
      <c r="AY109" s="134" t="s">
        <v>154</v>
      </c>
      <c r="AZ109" s="134" t="str">
        <f t="shared" si="18"/>
        <v>Franche-ComtéNoyerNoyer</v>
      </c>
      <c r="BB109" s="563" t="s">
        <v>3338</v>
      </c>
      <c r="BC109" s="36" t="s">
        <v>825</v>
      </c>
      <c r="BD109" s="36">
        <v>54</v>
      </c>
      <c r="BE109" s="36" t="s">
        <v>29</v>
      </c>
      <c r="BF109" s="36" t="s">
        <v>871</v>
      </c>
      <c r="BG109" s="36"/>
      <c r="BH109" s="36" t="s">
        <v>3077</v>
      </c>
      <c r="BI109" s="36" t="s">
        <v>3080</v>
      </c>
    </row>
    <row r="110" spans="49:61" x14ac:dyDescent="0.3">
      <c r="AW110" s="134" t="s">
        <v>19</v>
      </c>
      <c r="AX110" s="134" t="s">
        <v>158</v>
      </c>
      <c r="AY110" s="134" t="s">
        <v>635</v>
      </c>
      <c r="AZ110" s="134" t="str">
        <f t="shared" si="18"/>
        <v>Franche-ComtéPêcherNectarinier-Pêcher</v>
      </c>
      <c r="BB110" s="563" t="s">
        <v>3339</v>
      </c>
      <c r="BC110" s="36" t="s">
        <v>827</v>
      </c>
      <c r="BD110" s="36">
        <v>41</v>
      </c>
      <c r="BE110" s="36" t="s">
        <v>24</v>
      </c>
      <c r="BF110" s="36" t="s">
        <v>868</v>
      </c>
      <c r="BG110" s="36"/>
      <c r="BH110" s="36" t="s">
        <v>3077</v>
      </c>
      <c r="BI110" s="36" t="s">
        <v>836</v>
      </c>
    </row>
    <row r="111" spans="49:61" x14ac:dyDescent="0.3">
      <c r="AW111" s="134" t="s">
        <v>19</v>
      </c>
      <c r="AX111" s="134" t="s">
        <v>159</v>
      </c>
      <c r="AY111" s="134" t="s">
        <v>159</v>
      </c>
      <c r="AZ111" s="134" t="str">
        <f t="shared" si="18"/>
        <v>Franche-ComtéPoirierPoirier</v>
      </c>
      <c r="BB111" s="563" t="s">
        <v>3340</v>
      </c>
      <c r="BC111" s="36" t="s">
        <v>3084</v>
      </c>
      <c r="BD111" s="36">
        <v>986</v>
      </c>
      <c r="BE111" s="36" t="s">
        <v>3084</v>
      </c>
      <c r="BF111" s="36" t="s">
        <v>3084</v>
      </c>
      <c r="BG111" s="36"/>
      <c r="BH111" s="36" t="s">
        <v>3077</v>
      </c>
      <c r="BI111" s="36" t="s">
        <v>3081</v>
      </c>
    </row>
    <row r="112" spans="49:61" x14ac:dyDescent="0.3">
      <c r="AW112" s="134" t="s">
        <v>19</v>
      </c>
      <c r="AX112" s="134" t="s">
        <v>161</v>
      </c>
      <c r="AY112" s="134" t="s">
        <v>161</v>
      </c>
      <c r="AZ112" s="134" t="str">
        <f t="shared" si="18"/>
        <v>Franche-ComtéPommierPommier</v>
      </c>
      <c r="BB112" s="563" t="s">
        <v>3341</v>
      </c>
      <c r="BC112" s="36" t="s">
        <v>828</v>
      </c>
      <c r="BD112" s="36">
        <v>26</v>
      </c>
      <c r="BE112" s="36" t="s">
        <v>14</v>
      </c>
      <c r="BF112" s="36" t="s">
        <v>866</v>
      </c>
      <c r="BG112" s="36"/>
      <c r="BH112" s="36" t="s">
        <v>3077</v>
      </c>
      <c r="BI112" s="36" t="s">
        <v>3082</v>
      </c>
    </row>
    <row r="113" spans="49:61" x14ac:dyDescent="0.3">
      <c r="AW113" s="134" t="s">
        <v>19</v>
      </c>
      <c r="AX113" s="134" t="s">
        <v>162</v>
      </c>
      <c r="AY113" s="134" t="s">
        <v>162</v>
      </c>
      <c r="AZ113" s="134" t="str">
        <f t="shared" si="18"/>
        <v>Franche-ComtéPrunierPrunier</v>
      </c>
      <c r="BB113" s="563" t="s">
        <v>3342</v>
      </c>
      <c r="BC113" s="36" t="s">
        <v>817</v>
      </c>
      <c r="BD113" s="36">
        <v>11</v>
      </c>
      <c r="BE113" s="36" t="s">
        <v>843</v>
      </c>
      <c r="BF113" s="36" t="s">
        <v>292</v>
      </c>
      <c r="BH113" s="36" t="s">
        <v>3077</v>
      </c>
      <c r="BI113" s="36" t="s">
        <v>3083</v>
      </c>
    </row>
    <row r="114" spans="49:61" x14ac:dyDescent="0.3">
      <c r="AW114" s="134" t="s">
        <v>284</v>
      </c>
      <c r="AX114" s="134" t="s">
        <v>127</v>
      </c>
      <c r="AY114" s="134" t="s">
        <v>171</v>
      </c>
      <c r="AZ114" s="134" t="str">
        <f t="shared" si="18"/>
        <v>GuadeloupeAbricotierBananier</v>
      </c>
      <c r="BH114" s="36" t="s">
        <v>3077</v>
      </c>
      <c r="BI114" s="36" t="s">
        <v>3084</v>
      </c>
    </row>
    <row r="115" spans="49:61" x14ac:dyDescent="0.3">
      <c r="AW115" s="134" t="s">
        <v>284</v>
      </c>
      <c r="AX115" s="134" t="s">
        <v>634</v>
      </c>
      <c r="AY115" s="134" t="s">
        <v>171</v>
      </c>
      <c r="AZ115" s="134" t="str">
        <f t="shared" si="18"/>
        <v>GuadeloupeAgrumesBananier</v>
      </c>
      <c r="BH115" s="36" t="s">
        <v>3077</v>
      </c>
      <c r="BI115" s="36" t="s">
        <v>3085</v>
      </c>
    </row>
    <row r="116" spans="49:61" x14ac:dyDescent="0.3">
      <c r="AW116" s="134" t="s">
        <v>284</v>
      </c>
      <c r="AX116" s="134" t="s">
        <v>170</v>
      </c>
      <c r="AY116" s="134" t="s">
        <v>171</v>
      </c>
      <c r="AZ116" s="134" t="str">
        <f t="shared" si="18"/>
        <v>GuadeloupeAutresBananier</v>
      </c>
      <c r="BH116" s="36" t="s">
        <v>3077</v>
      </c>
      <c r="BI116" s="36" t="s">
        <v>3086</v>
      </c>
    </row>
    <row r="117" spans="49:61" x14ac:dyDescent="0.3">
      <c r="AW117" s="134" t="s">
        <v>284</v>
      </c>
      <c r="AX117" s="134" t="s">
        <v>171</v>
      </c>
      <c r="AY117" s="134" t="s">
        <v>171</v>
      </c>
      <c r="AZ117" s="134" t="str">
        <f t="shared" si="18"/>
        <v>GuadeloupeBananierBananier</v>
      </c>
      <c r="BH117" s="36" t="s">
        <v>3077</v>
      </c>
      <c r="BI117" s="36" t="s">
        <v>3087</v>
      </c>
    </row>
    <row r="118" spans="49:61" x14ac:dyDescent="0.3">
      <c r="AW118" s="134" t="s">
        <v>284</v>
      </c>
      <c r="AX118" s="134" t="s">
        <v>132</v>
      </c>
      <c r="AY118" s="134" t="s">
        <v>171</v>
      </c>
      <c r="AZ118" s="134" t="str">
        <f t="shared" si="18"/>
        <v>GuadeloupeCerisierBananier</v>
      </c>
    </row>
    <row r="119" spans="49:61" x14ac:dyDescent="0.3">
      <c r="AW119" s="134" t="s">
        <v>284</v>
      </c>
      <c r="AX119" s="134" t="s">
        <v>145</v>
      </c>
      <c r="AY119" s="134" t="s">
        <v>171</v>
      </c>
      <c r="AZ119" s="134" t="str">
        <f t="shared" si="18"/>
        <v>GuadeloupeMirabellierBananier</v>
      </c>
    </row>
    <row r="120" spans="49:61" x14ac:dyDescent="0.3">
      <c r="AW120" s="134" t="s">
        <v>284</v>
      </c>
      <c r="AX120" s="134" t="s">
        <v>151</v>
      </c>
      <c r="AY120" s="134" t="s">
        <v>171</v>
      </c>
      <c r="AZ120" s="134" t="str">
        <f t="shared" si="18"/>
        <v>GuadeloupeNectarinierBananier</v>
      </c>
    </row>
    <row r="121" spans="49:61" x14ac:dyDescent="0.3">
      <c r="AW121" s="134" t="s">
        <v>284</v>
      </c>
      <c r="AX121" s="134" t="s">
        <v>154</v>
      </c>
      <c r="AY121" s="134" t="s">
        <v>171</v>
      </c>
      <c r="AZ121" s="134" t="str">
        <f t="shared" si="18"/>
        <v>GuadeloupeNoyerBananier</v>
      </c>
    </row>
    <row r="122" spans="49:61" x14ac:dyDescent="0.3">
      <c r="AW122" s="134" t="s">
        <v>284</v>
      </c>
      <c r="AX122" s="134" t="s">
        <v>158</v>
      </c>
      <c r="AY122" s="134" t="s">
        <v>171</v>
      </c>
      <c r="AZ122" s="134" t="str">
        <f t="shared" si="18"/>
        <v>GuadeloupePêcherBananier</v>
      </c>
    </row>
    <row r="123" spans="49:61" x14ac:dyDescent="0.3">
      <c r="AW123" s="134" t="s">
        <v>284</v>
      </c>
      <c r="AX123" s="134" t="s">
        <v>159</v>
      </c>
      <c r="AY123" s="134" t="s">
        <v>171</v>
      </c>
      <c r="AZ123" s="134" t="str">
        <f t="shared" si="18"/>
        <v>GuadeloupePoirierBananier</v>
      </c>
    </row>
    <row r="124" spans="49:61" x14ac:dyDescent="0.3">
      <c r="AW124" s="134" t="s">
        <v>284</v>
      </c>
      <c r="AX124" s="134" t="s">
        <v>161</v>
      </c>
      <c r="AY124" s="134" t="s">
        <v>171</v>
      </c>
      <c r="AZ124" s="134" t="str">
        <f t="shared" si="18"/>
        <v>GuadeloupePommierBananier</v>
      </c>
    </row>
    <row r="125" spans="49:61" x14ac:dyDescent="0.3">
      <c r="AW125" s="134" t="s">
        <v>284</v>
      </c>
      <c r="AX125" s="134" t="s">
        <v>162</v>
      </c>
      <c r="AY125" s="134" t="s">
        <v>171</v>
      </c>
      <c r="AZ125" s="134" t="str">
        <f t="shared" si="18"/>
        <v>GuadeloupePrunierBananier</v>
      </c>
    </row>
    <row r="126" spans="49:61" x14ac:dyDescent="0.3">
      <c r="AW126" s="134" t="s">
        <v>285</v>
      </c>
      <c r="AX126" s="134" t="s">
        <v>127</v>
      </c>
      <c r="AY126" s="134" t="s">
        <v>634</v>
      </c>
      <c r="AZ126" s="134" t="str">
        <f t="shared" si="18"/>
        <v>GuyaneAbricotierAgrumes</v>
      </c>
    </row>
    <row r="127" spans="49:61" x14ac:dyDescent="0.3">
      <c r="AW127" s="134" t="s">
        <v>285</v>
      </c>
      <c r="AX127" s="134" t="s">
        <v>634</v>
      </c>
      <c r="AY127" s="134" t="s">
        <v>634</v>
      </c>
      <c r="AZ127" s="134" t="str">
        <f t="shared" si="18"/>
        <v>GuyaneAgrumesAgrumes</v>
      </c>
    </row>
    <row r="128" spans="49:61" x14ac:dyDescent="0.3">
      <c r="AW128" s="134" t="s">
        <v>285</v>
      </c>
      <c r="AX128" s="134" t="s">
        <v>170</v>
      </c>
      <c r="AY128" s="134" t="s">
        <v>634</v>
      </c>
      <c r="AZ128" s="134" t="str">
        <f t="shared" si="18"/>
        <v>GuyaneAutresAgrumes</v>
      </c>
    </row>
    <row r="129" spans="49:52" x14ac:dyDescent="0.3">
      <c r="AW129" s="134" t="s">
        <v>285</v>
      </c>
      <c r="AX129" s="134" t="s">
        <v>171</v>
      </c>
      <c r="AY129" s="134" t="s">
        <v>634</v>
      </c>
      <c r="AZ129" s="134" t="str">
        <f t="shared" si="18"/>
        <v>GuyaneBananierAgrumes</v>
      </c>
    </row>
    <row r="130" spans="49:52" x14ac:dyDescent="0.3">
      <c r="AW130" s="134" t="s">
        <v>285</v>
      </c>
      <c r="AX130" s="134" t="s">
        <v>132</v>
      </c>
      <c r="AY130" s="134" t="s">
        <v>634</v>
      </c>
      <c r="AZ130" s="134" t="str">
        <f t="shared" si="18"/>
        <v>GuyaneCerisierAgrumes</v>
      </c>
    </row>
    <row r="131" spans="49:52" x14ac:dyDescent="0.3">
      <c r="AW131" s="134" t="s">
        <v>285</v>
      </c>
      <c r="AX131" s="134" t="s">
        <v>145</v>
      </c>
      <c r="AY131" s="134" t="s">
        <v>634</v>
      </c>
      <c r="AZ131" s="134" t="str">
        <f t="shared" si="18"/>
        <v>GuyaneMirabellierAgrumes</v>
      </c>
    </row>
    <row r="132" spans="49:52" x14ac:dyDescent="0.3">
      <c r="AW132" s="134" t="s">
        <v>285</v>
      </c>
      <c r="AX132" s="134" t="s">
        <v>151</v>
      </c>
      <c r="AY132" s="134" t="s">
        <v>634</v>
      </c>
      <c r="AZ132" s="134" t="str">
        <f t="shared" si="18"/>
        <v>GuyaneNectarinierAgrumes</v>
      </c>
    </row>
    <row r="133" spans="49:52" x14ac:dyDescent="0.3">
      <c r="AW133" s="134" t="s">
        <v>285</v>
      </c>
      <c r="AX133" s="134" t="s">
        <v>154</v>
      </c>
      <c r="AY133" s="134" t="s">
        <v>634</v>
      </c>
      <c r="AZ133" s="134" t="str">
        <f t="shared" si="18"/>
        <v>GuyaneNoyerAgrumes</v>
      </c>
    </row>
    <row r="134" spans="49:52" x14ac:dyDescent="0.3">
      <c r="AW134" s="134" t="s">
        <v>285</v>
      </c>
      <c r="AX134" s="134" t="s">
        <v>158</v>
      </c>
      <c r="AY134" s="134" t="s">
        <v>634</v>
      </c>
      <c r="AZ134" s="134" t="str">
        <f t="shared" ref="AZ134:AZ197" si="19">AW134&amp;AX134&amp;AY134</f>
        <v>GuyanePêcherAgrumes</v>
      </c>
    </row>
    <row r="135" spans="49:52" x14ac:dyDescent="0.3">
      <c r="AW135" s="134" t="s">
        <v>285</v>
      </c>
      <c r="AX135" s="134" t="s">
        <v>159</v>
      </c>
      <c r="AY135" s="134" t="s">
        <v>634</v>
      </c>
      <c r="AZ135" s="134" t="str">
        <f t="shared" si="19"/>
        <v>GuyanePoirierAgrumes</v>
      </c>
    </row>
    <row r="136" spans="49:52" x14ac:dyDescent="0.3">
      <c r="AW136" s="134" t="s">
        <v>285</v>
      </c>
      <c r="AX136" s="134" t="s">
        <v>161</v>
      </c>
      <c r="AY136" s="134" t="s">
        <v>634</v>
      </c>
      <c r="AZ136" s="134" t="str">
        <f t="shared" si="19"/>
        <v>GuyanePommierAgrumes</v>
      </c>
    </row>
    <row r="137" spans="49:52" x14ac:dyDescent="0.3">
      <c r="AW137" s="134" t="s">
        <v>285</v>
      </c>
      <c r="AX137" s="134" t="s">
        <v>162</v>
      </c>
      <c r="AY137" s="134" t="s">
        <v>634</v>
      </c>
      <c r="AZ137" s="134" t="str">
        <f t="shared" si="19"/>
        <v>GuyanePrunierAgrumes</v>
      </c>
    </row>
    <row r="138" spans="49:52" x14ac:dyDescent="0.3">
      <c r="AW138" s="134" t="s">
        <v>20</v>
      </c>
      <c r="AX138" s="134" t="s">
        <v>127</v>
      </c>
      <c r="AY138" s="134" t="s">
        <v>127</v>
      </c>
      <c r="AZ138" s="134" t="str">
        <f t="shared" si="19"/>
        <v>Haute-NormandieAbricotierAbricotier</v>
      </c>
    </row>
    <row r="139" spans="49:52" x14ac:dyDescent="0.3">
      <c r="AW139" s="134" t="s">
        <v>20</v>
      </c>
      <c r="AX139" s="134" t="s">
        <v>634</v>
      </c>
      <c r="AY139" s="134" t="s">
        <v>135</v>
      </c>
      <c r="AZ139" s="134" t="str">
        <f t="shared" si="19"/>
        <v>Haute-NormandieAgrumesClémentinier</v>
      </c>
    </row>
    <row r="140" spans="49:52" x14ac:dyDescent="0.3">
      <c r="AW140" s="134" t="s">
        <v>20</v>
      </c>
      <c r="AX140" s="134" t="s">
        <v>170</v>
      </c>
      <c r="AY140" s="134" t="s">
        <v>162</v>
      </c>
      <c r="AZ140" s="134" t="str">
        <f t="shared" si="19"/>
        <v>Haute-NormandieAutresPrunier</v>
      </c>
    </row>
    <row r="141" spans="49:52" x14ac:dyDescent="0.3">
      <c r="AW141" s="134" t="s">
        <v>20</v>
      </c>
      <c r="AX141" s="134" t="s">
        <v>132</v>
      </c>
      <c r="AY141" s="134" t="s">
        <v>132</v>
      </c>
      <c r="AZ141" s="134" t="str">
        <f t="shared" si="19"/>
        <v>Haute-NormandieCerisierCerisier</v>
      </c>
    </row>
    <row r="142" spans="49:52" x14ac:dyDescent="0.3">
      <c r="AW142" s="134" t="s">
        <v>20</v>
      </c>
      <c r="AX142" s="134" t="s">
        <v>145</v>
      </c>
      <c r="AY142" s="134" t="s">
        <v>145</v>
      </c>
      <c r="AZ142" s="134" t="str">
        <f t="shared" si="19"/>
        <v>Haute-NormandieMirabellierMirabellier</v>
      </c>
    </row>
    <row r="143" spans="49:52" x14ac:dyDescent="0.3">
      <c r="AW143" s="134" t="s">
        <v>20</v>
      </c>
      <c r="AX143" s="134" t="s">
        <v>151</v>
      </c>
      <c r="AY143" s="134" t="s">
        <v>635</v>
      </c>
      <c r="AZ143" s="134" t="str">
        <f t="shared" si="19"/>
        <v>Haute-NormandieNectarinierNectarinier-Pêcher</v>
      </c>
    </row>
    <row r="144" spans="49:52" x14ac:dyDescent="0.3">
      <c r="AW144" s="134" t="s">
        <v>20</v>
      </c>
      <c r="AX144" s="134" t="s">
        <v>154</v>
      </c>
      <c r="AY144" s="134" t="s">
        <v>154</v>
      </c>
      <c r="AZ144" s="134" t="str">
        <f t="shared" si="19"/>
        <v>Haute-NormandieNoyerNoyer</v>
      </c>
    </row>
    <row r="145" spans="49:52" x14ac:dyDescent="0.3">
      <c r="AW145" s="134" t="s">
        <v>20</v>
      </c>
      <c r="AX145" s="134" t="s">
        <v>158</v>
      </c>
      <c r="AY145" s="134" t="s">
        <v>635</v>
      </c>
      <c r="AZ145" s="134" t="str">
        <f t="shared" si="19"/>
        <v>Haute-NormandiePêcherNectarinier-Pêcher</v>
      </c>
    </row>
    <row r="146" spans="49:52" x14ac:dyDescent="0.3">
      <c r="AW146" s="134" t="s">
        <v>20</v>
      </c>
      <c r="AX146" s="134" t="s">
        <v>159</v>
      </c>
      <c r="AY146" s="134" t="s">
        <v>159</v>
      </c>
      <c r="AZ146" s="134" t="str">
        <f t="shared" si="19"/>
        <v>Haute-NormandiePoirierPoirier</v>
      </c>
    </row>
    <row r="147" spans="49:52" x14ac:dyDescent="0.3">
      <c r="AW147" s="134" t="s">
        <v>20</v>
      </c>
      <c r="AX147" s="134" t="s">
        <v>161</v>
      </c>
      <c r="AY147" s="134" t="s">
        <v>161</v>
      </c>
      <c r="AZ147" s="134" t="str">
        <f t="shared" si="19"/>
        <v>Haute-NormandiePommierPommier</v>
      </c>
    </row>
    <row r="148" spans="49:52" x14ac:dyDescent="0.3">
      <c r="AW148" s="134" t="s">
        <v>20</v>
      </c>
      <c r="AX148" s="134" t="s">
        <v>162</v>
      </c>
      <c r="AY148" s="134" t="s">
        <v>162</v>
      </c>
      <c r="AZ148" s="134" t="str">
        <f t="shared" si="19"/>
        <v>Haute-NormandiePrunierPrunier</v>
      </c>
    </row>
    <row r="149" spans="49:52" x14ac:dyDescent="0.3">
      <c r="AW149" s="134" t="s">
        <v>292</v>
      </c>
      <c r="AX149" s="134" t="s">
        <v>127</v>
      </c>
      <c r="AY149" s="134" t="s">
        <v>127</v>
      </c>
      <c r="AZ149" s="134" t="str">
        <f t="shared" si="19"/>
        <v>Île-de-FranceAbricotierAbricotier</v>
      </c>
    </row>
    <row r="150" spans="49:52" x14ac:dyDescent="0.3">
      <c r="AW150" s="134" t="s">
        <v>292</v>
      </c>
      <c r="AX150" s="134" t="s">
        <v>634</v>
      </c>
      <c r="AY150" s="134" t="s">
        <v>135</v>
      </c>
      <c r="AZ150" s="134" t="str">
        <f t="shared" si="19"/>
        <v>Île-de-FranceAgrumesClémentinier</v>
      </c>
    </row>
    <row r="151" spans="49:52" x14ac:dyDescent="0.3">
      <c r="AW151" s="134" t="s">
        <v>292</v>
      </c>
      <c r="AX151" s="134" t="s">
        <v>170</v>
      </c>
      <c r="AY151" s="134" t="s">
        <v>162</v>
      </c>
      <c r="AZ151" s="134" t="str">
        <f t="shared" si="19"/>
        <v>Île-de-FranceAutresPrunier</v>
      </c>
    </row>
    <row r="152" spans="49:52" x14ac:dyDescent="0.3">
      <c r="AW152" s="134" t="s">
        <v>292</v>
      </c>
      <c r="AX152" s="134" t="s">
        <v>132</v>
      </c>
      <c r="AY152" s="134" t="s">
        <v>132</v>
      </c>
      <c r="AZ152" s="134" t="str">
        <f t="shared" si="19"/>
        <v>Île-de-FranceCerisierCerisier</v>
      </c>
    </row>
    <row r="153" spans="49:52" x14ac:dyDescent="0.3">
      <c r="AW153" s="134" t="s">
        <v>292</v>
      </c>
      <c r="AX153" s="134" t="s">
        <v>145</v>
      </c>
      <c r="AY153" s="134" t="s">
        <v>145</v>
      </c>
      <c r="AZ153" s="134" t="str">
        <f t="shared" si="19"/>
        <v>Île-de-FranceMirabellierMirabellier</v>
      </c>
    </row>
    <row r="154" spans="49:52" x14ac:dyDescent="0.3">
      <c r="AW154" s="134" t="s">
        <v>292</v>
      </c>
      <c r="AX154" s="134" t="s">
        <v>151</v>
      </c>
      <c r="AY154" s="134" t="s">
        <v>635</v>
      </c>
      <c r="AZ154" s="134" t="str">
        <f t="shared" si="19"/>
        <v>Île-de-FranceNectarinierNectarinier-Pêcher</v>
      </c>
    </row>
    <row r="155" spans="49:52" x14ac:dyDescent="0.3">
      <c r="AW155" s="134" t="s">
        <v>292</v>
      </c>
      <c r="AX155" s="134" t="s">
        <v>154</v>
      </c>
      <c r="AY155" s="134" t="s">
        <v>154</v>
      </c>
      <c r="AZ155" s="134" t="str">
        <f t="shared" si="19"/>
        <v>Île-de-FranceNoyerNoyer</v>
      </c>
    </row>
    <row r="156" spans="49:52" x14ac:dyDescent="0.3">
      <c r="AW156" s="134" t="s">
        <v>292</v>
      </c>
      <c r="AX156" s="134" t="s">
        <v>158</v>
      </c>
      <c r="AY156" s="134" t="s">
        <v>635</v>
      </c>
      <c r="AZ156" s="134" t="str">
        <f t="shared" si="19"/>
        <v>Île-de-FrancePêcherNectarinier-Pêcher</v>
      </c>
    </row>
    <row r="157" spans="49:52" x14ac:dyDescent="0.3">
      <c r="AW157" s="134" t="s">
        <v>292</v>
      </c>
      <c r="AX157" s="134" t="s">
        <v>159</v>
      </c>
      <c r="AY157" s="134" t="s">
        <v>159</v>
      </c>
      <c r="AZ157" s="134" t="str">
        <f t="shared" si="19"/>
        <v>Île-de-FrancePoirierPoirier</v>
      </c>
    </row>
    <row r="158" spans="49:52" x14ac:dyDescent="0.3">
      <c r="AW158" s="134" t="s">
        <v>292</v>
      </c>
      <c r="AX158" s="134" t="s">
        <v>161</v>
      </c>
      <c r="AY158" s="134" t="s">
        <v>161</v>
      </c>
      <c r="AZ158" s="134" t="str">
        <f t="shared" si="19"/>
        <v>Île-de-FrancePommierPommier</v>
      </c>
    </row>
    <row r="159" spans="49:52" x14ac:dyDescent="0.3">
      <c r="AW159" s="134" t="s">
        <v>292</v>
      </c>
      <c r="AX159" s="134" t="s">
        <v>162</v>
      </c>
      <c r="AY159" s="134" t="s">
        <v>162</v>
      </c>
      <c r="AZ159" s="134" t="str">
        <f t="shared" si="19"/>
        <v>Île-de-FrancePrunierPrunier</v>
      </c>
    </row>
    <row r="160" spans="49:52" x14ac:dyDescent="0.3">
      <c r="AW160" s="134" t="s">
        <v>22</v>
      </c>
      <c r="AX160" s="134" t="s">
        <v>127</v>
      </c>
      <c r="AY160" s="134" t="s">
        <v>127</v>
      </c>
      <c r="AZ160" s="134" t="str">
        <f t="shared" si="19"/>
        <v>Languedoc-RoussillonAbricotierAbricotier</v>
      </c>
    </row>
    <row r="161" spans="49:52" x14ac:dyDescent="0.3">
      <c r="AW161" s="134" t="s">
        <v>22</v>
      </c>
      <c r="AX161" s="134" t="s">
        <v>634</v>
      </c>
      <c r="AY161" s="134" t="s">
        <v>135</v>
      </c>
      <c r="AZ161" s="134" t="str">
        <f t="shared" si="19"/>
        <v>Languedoc-RoussillonAgrumesClémentinier</v>
      </c>
    </row>
    <row r="162" spans="49:52" x14ac:dyDescent="0.3">
      <c r="AW162" s="134" t="s">
        <v>22</v>
      </c>
      <c r="AX162" s="134" t="s">
        <v>170</v>
      </c>
      <c r="AY162" s="134" t="s">
        <v>162</v>
      </c>
      <c r="AZ162" s="134" t="str">
        <f t="shared" si="19"/>
        <v>Languedoc-RoussillonAutresPrunier</v>
      </c>
    </row>
    <row r="163" spans="49:52" x14ac:dyDescent="0.3">
      <c r="AW163" s="134" t="s">
        <v>22</v>
      </c>
      <c r="AX163" s="134" t="s">
        <v>132</v>
      </c>
      <c r="AY163" s="134" t="s">
        <v>132</v>
      </c>
      <c r="AZ163" s="134" t="str">
        <f t="shared" si="19"/>
        <v>Languedoc-RoussillonCerisierCerisier</v>
      </c>
    </row>
    <row r="164" spans="49:52" x14ac:dyDescent="0.3">
      <c r="AW164" s="134" t="s">
        <v>22</v>
      </c>
      <c r="AX164" s="134" t="s">
        <v>145</v>
      </c>
      <c r="AY164" s="134" t="s">
        <v>145</v>
      </c>
      <c r="AZ164" s="134" t="str">
        <f t="shared" si="19"/>
        <v>Languedoc-RoussillonMirabellierMirabellier</v>
      </c>
    </row>
    <row r="165" spans="49:52" x14ac:dyDescent="0.3">
      <c r="AW165" s="134" t="s">
        <v>22</v>
      </c>
      <c r="AX165" s="134" t="s">
        <v>151</v>
      </c>
      <c r="AY165" s="134" t="s">
        <v>635</v>
      </c>
      <c r="AZ165" s="134" t="str">
        <f t="shared" si="19"/>
        <v>Languedoc-RoussillonNectarinierNectarinier-Pêcher</v>
      </c>
    </row>
    <row r="166" spans="49:52" x14ac:dyDescent="0.3">
      <c r="AW166" s="134" t="s">
        <v>22</v>
      </c>
      <c r="AX166" s="134" t="s">
        <v>154</v>
      </c>
      <c r="AY166" s="134" t="s">
        <v>154</v>
      </c>
      <c r="AZ166" s="134" t="str">
        <f t="shared" si="19"/>
        <v>Languedoc-RoussillonNoyerNoyer</v>
      </c>
    </row>
    <row r="167" spans="49:52" x14ac:dyDescent="0.3">
      <c r="AW167" s="134" t="s">
        <v>22</v>
      </c>
      <c r="AX167" s="134" t="s">
        <v>158</v>
      </c>
      <c r="AY167" s="134" t="s">
        <v>635</v>
      </c>
      <c r="AZ167" s="134" t="str">
        <f t="shared" si="19"/>
        <v>Languedoc-RoussillonPêcherNectarinier-Pêcher</v>
      </c>
    </row>
    <row r="168" spans="49:52" x14ac:dyDescent="0.3">
      <c r="AW168" s="134" t="s">
        <v>22</v>
      </c>
      <c r="AX168" s="134" t="s">
        <v>159</v>
      </c>
      <c r="AY168" s="134" t="s">
        <v>159</v>
      </c>
      <c r="AZ168" s="134" t="str">
        <f t="shared" si="19"/>
        <v>Languedoc-RoussillonPoirierPoirier</v>
      </c>
    </row>
    <row r="169" spans="49:52" x14ac:dyDescent="0.3">
      <c r="AW169" s="134" t="s">
        <v>22</v>
      </c>
      <c r="AX169" s="134" t="s">
        <v>161</v>
      </c>
      <c r="AY169" s="134" t="s">
        <v>161</v>
      </c>
      <c r="AZ169" s="134" t="str">
        <f t="shared" si="19"/>
        <v>Languedoc-RoussillonPommierPommier</v>
      </c>
    </row>
    <row r="170" spans="49:52" x14ac:dyDescent="0.3">
      <c r="AW170" s="134" t="s">
        <v>22</v>
      </c>
      <c r="AX170" s="134" t="s">
        <v>162</v>
      </c>
      <c r="AY170" s="134" t="s">
        <v>162</v>
      </c>
      <c r="AZ170" s="134" t="str">
        <f t="shared" si="19"/>
        <v>Languedoc-RoussillonPrunierPrunier</v>
      </c>
    </row>
    <row r="171" spans="49:52" x14ac:dyDescent="0.3">
      <c r="AW171" s="134" t="s">
        <v>23</v>
      </c>
      <c r="AX171" s="134" t="s">
        <v>127</v>
      </c>
      <c r="AY171" s="134" t="s">
        <v>127</v>
      </c>
      <c r="AZ171" s="134" t="str">
        <f t="shared" si="19"/>
        <v>LimousinAbricotierAbricotier</v>
      </c>
    </row>
    <row r="172" spans="49:52" x14ac:dyDescent="0.3">
      <c r="AW172" s="134" t="s">
        <v>23</v>
      </c>
      <c r="AX172" s="134" t="s">
        <v>634</v>
      </c>
      <c r="AY172" s="134" t="s">
        <v>135</v>
      </c>
      <c r="AZ172" s="134" t="str">
        <f t="shared" si="19"/>
        <v>LimousinAgrumesClémentinier</v>
      </c>
    </row>
    <row r="173" spans="49:52" x14ac:dyDescent="0.3">
      <c r="AW173" s="134" t="s">
        <v>23</v>
      </c>
      <c r="AX173" s="134" t="s">
        <v>170</v>
      </c>
      <c r="AY173" s="134" t="s">
        <v>162</v>
      </c>
      <c r="AZ173" s="134" t="str">
        <f t="shared" si="19"/>
        <v>LimousinAutresPrunier</v>
      </c>
    </row>
    <row r="174" spans="49:52" x14ac:dyDescent="0.3">
      <c r="AW174" s="134" t="s">
        <v>23</v>
      </c>
      <c r="AX174" s="134" t="s">
        <v>132</v>
      </c>
      <c r="AY174" s="134" t="s">
        <v>132</v>
      </c>
      <c r="AZ174" s="134" t="str">
        <f t="shared" si="19"/>
        <v>LimousinCerisierCerisier</v>
      </c>
    </row>
    <row r="175" spans="49:52" x14ac:dyDescent="0.3">
      <c r="AW175" s="134" t="s">
        <v>23</v>
      </c>
      <c r="AX175" s="134" t="s">
        <v>145</v>
      </c>
      <c r="AY175" s="134" t="s">
        <v>145</v>
      </c>
      <c r="AZ175" s="134" t="str">
        <f t="shared" si="19"/>
        <v>LimousinMirabellierMirabellier</v>
      </c>
    </row>
    <row r="176" spans="49:52" x14ac:dyDescent="0.3">
      <c r="AW176" s="134" t="s">
        <v>23</v>
      </c>
      <c r="AX176" s="134" t="s">
        <v>151</v>
      </c>
      <c r="AY176" s="134" t="s">
        <v>635</v>
      </c>
      <c r="AZ176" s="134" t="str">
        <f t="shared" si="19"/>
        <v>LimousinNectarinierNectarinier-Pêcher</v>
      </c>
    </row>
    <row r="177" spans="49:52" x14ac:dyDescent="0.3">
      <c r="AW177" s="134" t="s">
        <v>23</v>
      </c>
      <c r="AX177" s="134" t="s">
        <v>154</v>
      </c>
      <c r="AY177" s="134" t="s">
        <v>154</v>
      </c>
      <c r="AZ177" s="134" t="str">
        <f t="shared" si="19"/>
        <v>LimousinNoyerNoyer</v>
      </c>
    </row>
    <row r="178" spans="49:52" x14ac:dyDescent="0.3">
      <c r="AW178" s="134" t="s">
        <v>23</v>
      </c>
      <c r="AX178" s="134" t="s">
        <v>158</v>
      </c>
      <c r="AY178" s="134" t="s">
        <v>635</v>
      </c>
      <c r="AZ178" s="134" t="str">
        <f t="shared" si="19"/>
        <v>LimousinPêcherNectarinier-Pêcher</v>
      </c>
    </row>
    <row r="179" spans="49:52" x14ac:dyDescent="0.3">
      <c r="AW179" s="134" t="s">
        <v>23</v>
      </c>
      <c r="AX179" s="134" t="s">
        <v>159</v>
      </c>
      <c r="AY179" s="134" t="s">
        <v>159</v>
      </c>
      <c r="AZ179" s="134" t="str">
        <f t="shared" si="19"/>
        <v>LimousinPoirierPoirier</v>
      </c>
    </row>
    <row r="180" spans="49:52" x14ac:dyDescent="0.3">
      <c r="AW180" s="134" t="s">
        <v>23</v>
      </c>
      <c r="AX180" s="134" t="s">
        <v>161</v>
      </c>
      <c r="AY180" s="134" t="s">
        <v>161</v>
      </c>
      <c r="AZ180" s="134" t="str">
        <f t="shared" si="19"/>
        <v>LimousinPommierPommier</v>
      </c>
    </row>
    <row r="181" spans="49:52" x14ac:dyDescent="0.3">
      <c r="AW181" s="134" t="s">
        <v>23</v>
      </c>
      <c r="AX181" s="134" t="s">
        <v>162</v>
      </c>
      <c r="AY181" s="134" t="s">
        <v>162</v>
      </c>
      <c r="AZ181" s="134" t="str">
        <f t="shared" si="19"/>
        <v>LimousinPrunierPrunier</v>
      </c>
    </row>
    <row r="182" spans="49:52" x14ac:dyDescent="0.3">
      <c r="AW182" s="134" t="s">
        <v>24</v>
      </c>
      <c r="AX182" s="134" t="s">
        <v>127</v>
      </c>
      <c r="AY182" s="134" t="s">
        <v>127</v>
      </c>
      <c r="AZ182" s="134" t="str">
        <f t="shared" si="19"/>
        <v>LorraineAbricotierAbricotier</v>
      </c>
    </row>
    <row r="183" spans="49:52" x14ac:dyDescent="0.3">
      <c r="AW183" s="134" t="s">
        <v>24</v>
      </c>
      <c r="AX183" s="134" t="s">
        <v>634</v>
      </c>
      <c r="AY183" s="134" t="s">
        <v>135</v>
      </c>
      <c r="AZ183" s="134" t="str">
        <f t="shared" si="19"/>
        <v>LorraineAgrumesClémentinier</v>
      </c>
    </row>
    <row r="184" spans="49:52" x14ac:dyDescent="0.3">
      <c r="AW184" s="134" t="s">
        <v>24</v>
      </c>
      <c r="AX184" s="134" t="s">
        <v>170</v>
      </c>
      <c r="AY184" s="134" t="s">
        <v>162</v>
      </c>
      <c r="AZ184" s="134" t="str">
        <f t="shared" si="19"/>
        <v>LorraineAutresPrunier</v>
      </c>
    </row>
    <row r="185" spans="49:52" x14ac:dyDescent="0.3">
      <c r="AW185" s="134" t="s">
        <v>24</v>
      </c>
      <c r="AX185" s="134" t="s">
        <v>132</v>
      </c>
      <c r="AY185" s="134" t="s">
        <v>132</v>
      </c>
      <c r="AZ185" s="134" t="str">
        <f t="shared" si="19"/>
        <v>LorraineCerisierCerisier</v>
      </c>
    </row>
    <row r="186" spans="49:52" x14ac:dyDescent="0.3">
      <c r="AW186" s="134" t="s">
        <v>24</v>
      </c>
      <c r="AX186" s="134" t="s">
        <v>145</v>
      </c>
      <c r="AY186" s="134" t="s">
        <v>145</v>
      </c>
      <c r="AZ186" s="134" t="str">
        <f t="shared" si="19"/>
        <v>LorraineMirabellierMirabellier</v>
      </c>
    </row>
    <row r="187" spans="49:52" x14ac:dyDescent="0.3">
      <c r="AW187" s="134" t="s">
        <v>24</v>
      </c>
      <c r="AX187" s="134" t="s">
        <v>151</v>
      </c>
      <c r="AY187" s="134" t="s">
        <v>635</v>
      </c>
      <c r="AZ187" s="134" t="str">
        <f t="shared" si="19"/>
        <v>LorraineNectarinierNectarinier-Pêcher</v>
      </c>
    </row>
    <row r="188" spans="49:52" x14ac:dyDescent="0.3">
      <c r="AW188" s="134" t="s">
        <v>24</v>
      </c>
      <c r="AX188" s="134" t="s">
        <v>154</v>
      </c>
      <c r="AY188" s="134" t="s">
        <v>154</v>
      </c>
      <c r="AZ188" s="134" t="str">
        <f t="shared" si="19"/>
        <v>LorraineNoyerNoyer</v>
      </c>
    </row>
    <row r="189" spans="49:52" x14ac:dyDescent="0.3">
      <c r="AW189" s="134" t="s">
        <v>24</v>
      </c>
      <c r="AX189" s="134" t="s">
        <v>158</v>
      </c>
      <c r="AY189" s="134" t="s">
        <v>635</v>
      </c>
      <c r="AZ189" s="134" t="str">
        <f t="shared" si="19"/>
        <v>LorrainePêcherNectarinier-Pêcher</v>
      </c>
    </row>
    <row r="190" spans="49:52" x14ac:dyDescent="0.3">
      <c r="AW190" s="134" t="s">
        <v>24</v>
      </c>
      <c r="AX190" s="134" t="s">
        <v>159</v>
      </c>
      <c r="AY190" s="134" t="s">
        <v>159</v>
      </c>
      <c r="AZ190" s="134" t="str">
        <f t="shared" si="19"/>
        <v>LorrainePoirierPoirier</v>
      </c>
    </row>
    <row r="191" spans="49:52" x14ac:dyDescent="0.3">
      <c r="AW191" s="134" t="s">
        <v>24</v>
      </c>
      <c r="AX191" s="134" t="s">
        <v>161</v>
      </c>
      <c r="AY191" s="134" t="s">
        <v>161</v>
      </c>
      <c r="AZ191" s="134" t="str">
        <f t="shared" si="19"/>
        <v>LorrainePommierPommier</v>
      </c>
    </row>
    <row r="192" spans="49:52" x14ac:dyDescent="0.3">
      <c r="AW192" s="134" t="s">
        <v>24</v>
      </c>
      <c r="AX192" s="134" t="s">
        <v>162</v>
      </c>
      <c r="AY192" s="134" t="s">
        <v>162</v>
      </c>
      <c r="AZ192" s="134" t="str">
        <f t="shared" si="19"/>
        <v>LorrainePrunierPrunier</v>
      </c>
    </row>
    <row r="193" spans="49:52" x14ac:dyDescent="0.3">
      <c r="AW193" s="134" t="s">
        <v>286</v>
      </c>
      <c r="AX193" s="134" t="s">
        <v>127</v>
      </c>
      <c r="AY193" s="134" t="s">
        <v>171</v>
      </c>
      <c r="AZ193" s="134" t="str">
        <f t="shared" si="19"/>
        <v>MartiniqueAbricotierBananier</v>
      </c>
    </row>
    <row r="194" spans="49:52" x14ac:dyDescent="0.3">
      <c r="AW194" s="134" t="s">
        <v>286</v>
      </c>
      <c r="AX194" s="134" t="s">
        <v>634</v>
      </c>
      <c r="AY194" s="134" t="s">
        <v>171</v>
      </c>
      <c r="AZ194" s="134" t="str">
        <f t="shared" si="19"/>
        <v>MartiniqueAgrumesBananier</v>
      </c>
    </row>
    <row r="195" spans="49:52" x14ac:dyDescent="0.3">
      <c r="AW195" s="134" t="s">
        <v>286</v>
      </c>
      <c r="AX195" s="134" t="s">
        <v>170</v>
      </c>
      <c r="AY195" s="134" t="s">
        <v>171</v>
      </c>
      <c r="AZ195" s="134" t="str">
        <f t="shared" si="19"/>
        <v>MartiniqueAutresBananier</v>
      </c>
    </row>
    <row r="196" spans="49:52" x14ac:dyDescent="0.3">
      <c r="AW196" s="134" t="s">
        <v>286</v>
      </c>
      <c r="AX196" s="134" t="s">
        <v>171</v>
      </c>
      <c r="AY196" s="134" t="s">
        <v>171</v>
      </c>
      <c r="AZ196" s="134" t="str">
        <f t="shared" si="19"/>
        <v>MartiniqueBananierBananier</v>
      </c>
    </row>
    <row r="197" spans="49:52" x14ac:dyDescent="0.3">
      <c r="AW197" s="134" t="s">
        <v>286</v>
      </c>
      <c r="AX197" s="134" t="s">
        <v>132</v>
      </c>
      <c r="AY197" s="134" t="s">
        <v>171</v>
      </c>
      <c r="AZ197" s="134" t="str">
        <f t="shared" si="19"/>
        <v>MartiniqueCerisierBananier</v>
      </c>
    </row>
    <row r="198" spans="49:52" x14ac:dyDescent="0.3">
      <c r="AW198" s="134" t="s">
        <v>286</v>
      </c>
      <c r="AX198" s="134" t="s">
        <v>145</v>
      </c>
      <c r="AY198" s="134" t="s">
        <v>171</v>
      </c>
      <c r="AZ198" s="134" t="str">
        <f t="shared" ref="AZ198:AZ261" si="20">AW198&amp;AX198&amp;AY198</f>
        <v>MartiniqueMirabellierBananier</v>
      </c>
    </row>
    <row r="199" spans="49:52" x14ac:dyDescent="0.3">
      <c r="AW199" s="134" t="s">
        <v>286</v>
      </c>
      <c r="AX199" s="134" t="s">
        <v>151</v>
      </c>
      <c r="AY199" s="134" t="s">
        <v>171</v>
      </c>
      <c r="AZ199" s="134" t="str">
        <f t="shared" si="20"/>
        <v>MartiniqueNectarinierBananier</v>
      </c>
    </row>
    <row r="200" spans="49:52" x14ac:dyDescent="0.3">
      <c r="AW200" s="134" t="s">
        <v>286</v>
      </c>
      <c r="AX200" s="134" t="s">
        <v>154</v>
      </c>
      <c r="AY200" s="134" t="s">
        <v>171</v>
      </c>
      <c r="AZ200" s="134" t="str">
        <f t="shared" si="20"/>
        <v>MartiniqueNoyerBananier</v>
      </c>
    </row>
    <row r="201" spans="49:52" x14ac:dyDescent="0.3">
      <c r="AW201" s="134" t="s">
        <v>286</v>
      </c>
      <c r="AX201" s="134" t="s">
        <v>158</v>
      </c>
      <c r="AY201" s="134" t="s">
        <v>171</v>
      </c>
      <c r="AZ201" s="134" t="str">
        <f t="shared" si="20"/>
        <v>MartiniquePêcherBananier</v>
      </c>
    </row>
    <row r="202" spans="49:52" x14ac:dyDescent="0.3">
      <c r="AW202" s="134" t="s">
        <v>286</v>
      </c>
      <c r="AX202" s="134" t="s">
        <v>159</v>
      </c>
      <c r="AY202" s="134" t="s">
        <v>171</v>
      </c>
      <c r="AZ202" s="134" t="str">
        <f t="shared" si="20"/>
        <v>MartiniquePoirierBananier</v>
      </c>
    </row>
    <row r="203" spans="49:52" x14ac:dyDescent="0.3">
      <c r="AW203" s="134" t="s">
        <v>286</v>
      </c>
      <c r="AX203" s="134" t="s">
        <v>161</v>
      </c>
      <c r="AY203" s="134" t="s">
        <v>171</v>
      </c>
      <c r="AZ203" s="134" t="str">
        <f t="shared" si="20"/>
        <v>MartiniquePommierBananier</v>
      </c>
    </row>
    <row r="204" spans="49:52" x14ac:dyDescent="0.3">
      <c r="AW204" s="134" t="s">
        <v>286</v>
      </c>
      <c r="AX204" s="134" t="s">
        <v>162</v>
      </c>
      <c r="AY204" s="134" t="s">
        <v>171</v>
      </c>
      <c r="AZ204" s="134" t="str">
        <f t="shared" si="20"/>
        <v>MartiniquePrunierBananier</v>
      </c>
    </row>
    <row r="205" spans="49:52" x14ac:dyDescent="0.3">
      <c r="AW205" s="134" t="s">
        <v>25</v>
      </c>
      <c r="AX205" s="134" t="s">
        <v>127</v>
      </c>
      <c r="AY205" s="134" t="s">
        <v>127</v>
      </c>
      <c r="AZ205" s="134" t="str">
        <f t="shared" si="20"/>
        <v>Midi-PyrénéesAbricotierAbricotier</v>
      </c>
    </row>
    <row r="206" spans="49:52" x14ac:dyDescent="0.3">
      <c r="AW206" s="134" t="s">
        <v>25</v>
      </c>
      <c r="AX206" s="134" t="s">
        <v>634</v>
      </c>
      <c r="AY206" s="134" t="s">
        <v>135</v>
      </c>
      <c r="AZ206" s="134" t="str">
        <f t="shared" si="20"/>
        <v>Midi-PyrénéesAgrumesClémentinier</v>
      </c>
    </row>
    <row r="207" spans="49:52" x14ac:dyDescent="0.3">
      <c r="AW207" s="134" t="s">
        <v>25</v>
      </c>
      <c r="AX207" s="134" t="s">
        <v>170</v>
      </c>
      <c r="AY207" s="134" t="s">
        <v>162</v>
      </c>
      <c r="AZ207" s="134" t="str">
        <f t="shared" si="20"/>
        <v>Midi-PyrénéesAutresPrunier</v>
      </c>
    </row>
    <row r="208" spans="49:52" x14ac:dyDescent="0.3">
      <c r="AW208" s="134" t="s">
        <v>25</v>
      </c>
      <c r="AX208" s="134" t="s">
        <v>132</v>
      </c>
      <c r="AY208" s="134" t="s">
        <v>132</v>
      </c>
      <c r="AZ208" s="134" t="str">
        <f t="shared" si="20"/>
        <v>Midi-PyrénéesCerisierCerisier</v>
      </c>
    </row>
    <row r="209" spans="49:52" x14ac:dyDescent="0.3">
      <c r="AW209" s="134" t="s">
        <v>25</v>
      </c>
      <c r="AX209" s="134" t="s">
        <v>145</v>
      </c>
      <c r="AY209" s="134" t="s">
        <v>145</v>
      </c>
      <c r="AZ209" s="134" t="str">
        <f t="shared" si="20"/>
        <v>Midi-PyrénéesMirabellierMirabellier</v>
      </c>
    </row>
    <row r="210" spans="49:52" x14ac:dyDescent="0.3">
      <c r="AW210" s="134" t="s">
        <v>25</v>
      </c>
      <c r="AX210" s="134" t="s">
        <v>151</v>
      </c>
      <c r="AY210" s="134" t="s">
        <v>635</v>
      </c>
      <c r="AZ210" s="134" t="str">
        <f t="shared" si="20"/>
        <v>Midi-PyrénéesNectarinierNectarinier-Pêcher</v>
      </c>
    </row>
    <row r="211" spans="49:52" x14ac:dyDescent="0.3">
      <c r="AW211" s="134" t="s">
        <v>25</v>
      </c>
      <c r="AX211" s="134" t="s">
        <v>154</v>
      </c>
      <c r="AY211" s="134" t="s">
        <v>154</v>
      </c>
      <c r="AZ211" s="134" t="str">
        <f t="shared" si="20"/>
        <v>Midi-PyrénéesNoyerNoyer</v>
      </c>
    </row>
    <row r="212" spans="49:52" x14ac:dyDescent="0.3">
      <c r="AW212" s="134" t="s">
        <v>25</v>
      </c>
      <c r="AX212" s="134" t="s">
        <v>158</v>
      </c>
      <c r="AY212" s="134" t="s">
        <v>635</v>
      </c>
      <c r="AZ212" s="134" t="str">
        <f t="shared" si="20"/>
        <v>Midi-PyrénéesPêcherNectarinier-Pêcher</v>
      </c>
    </row>
    <row r="213" spans="49:52" x14ac:dyDescent="0.3">
      <c r="AW213" s="134" t="s">
        <v>25</v>
      </c>
      <c r="AX213" s="134" t="s">
        <v>159</v>
      </c>
      <c r="AY213" s="134" t="s">
        <v>159</v>
      </c>
      <c r="AZ213" s="134" t="str">
        <f t="shared" si="20"/>
        <v>Midi-PyrénéesPoirierPoirier</v>
      </c>
    </row>
    <row r="214" spans="49:52" x14ac:dyDescent="0.3">
      <c r="AW214" s="134" t="s">
        <v>25</v>
      </c>
      <c r="AX214" s="134" t="s">
        <v>161</v>
      </c>
      <c r="AY214" s="134" t="s">
        <v>161</v>
      </c>
      <c r="AZ214" s="134" t="str">
        <f t="shared" si="20"/>
        <v>Midi-PyrénéesPommierPommier</v>
      </c>
    </row>
    <row r="215" spans="49:52" x14ac:dyDescent="0.3">
      <c r="AW215" s="134" t="s">
        <v>25</v>
      </c>
      <c r="AX215" s="134" t="s">
        <v>162</v>
      </c>
      <c r="AY215" s="134" t="s">
        <v>162</v>
      </c>
      <c r="AZ215" s="134" t="str">
        <f t="shared" si="20"/>
        <v>Midi-PyrénéesPrunierPrunier</v>
      </c>
    </row>
    <row r="216" spans="49:52" x14ac:dyDescent="0.3">
      <c r="AW216" s="134" t="s">
        <v>26</v>
      </c>
      <c r="AX216" s="134" t="s">
        <v>127</v>
      </c>
      <c r="AY216" s="134" t="s">
        <v>127</v>
      </c>
      <c r="AZ216" s="134" t="str">
        <f t="shared" si="20"/>
        <v>Nord-Pas-de-CalaisAbricotierAbricotier</v>
      </c>
    </row>
    <row r="217" spans="49:52" x14ac:dyDescent="0.3">
      <c r="AW217" s="134" t="s">
        <v>26</v>
      </c>
      <c r="AX217" s="134" t="s">
        <v>634</v>
      </c>
      <c r="AY217" s="134" t="s">
        <v>135</v>
      </c>
      <c r="AZ217" s="134" t="str">
        <f t="shared" si="20"/>
        <v>Nord-Pas-de-CalaisAgrumesClémentinier</v>
      </c>
    </row>
    <row r="218" spans="49:52" x14ac:dyDescent="0.3">
      <c r="AW218" s="134" t="s">
        <v>26</v>
      </c>
      <c r="AX218" s="134" t="s">
        <v>170</v>
      </c>
      <c r="AY218" s="134" t="s">
        <v>162</v>
      </c>
      <c r="AZ218" s="134" t="str">
        <f t="shared" si="20"/>
        <v>Nord-Pas-de-CalaisAutresPrunier</v>
      </c>
    </row>
    <row r="219" spans="49:52" x14ac:dyDescent="0.3">
      <c r="AW219" s="134" t="s">
        <v>26</v>
      </c>
      <c r="AX219" s="134" t="s">
        <v>132</v>
      </c>
      <c r="AY219" s="134" t="s">
        <v>132</v>
      </c>
      <c r="AZ219" s="134" t="str">
        <f t="shared" si="20"/>
        <v>Nord-Pas-de-CalaisCerisierCerisier</v>
      </c>
    </row>
    <row r="220" spans="49:52" x14ac:dyDescent="0.3">
      <c r="AW220" s="134" t="s">
        <v>26</v>
      </c>
      <c r="AX220" s="134" t="s">
        <v>145</v>
      </c>
      <c r="AY220" s="134" t="s">
        <v>145</v>
      </c>
      <c r="AZ220" s="134" t="str">
        <f t="shared" si="20"/>
        <v>Nord-Pas-de-CalaisMirabellierMirabellier</v>
      </c>
    </row>
    <row r="221" spans="49:52" x14ac:dyDescent="0.3">
      <c r="AW221" s="134" t="s">
        <v>26</v>
      </c>
      <c r="AX221" s="134" t="s">
        <v>151</v>
      </c>
      <c r="AY221" s="134" t="s">
        <v>635</v>
      </c>
      <c r="AZ221" s="134" t="str">
        <f t="shared" si="20"/>
        <v>Nord-Pas-de-CalaisNectarinierNectarinier-Pêcher</v>
      </c>
    </row>
    <row r="222" spans="49:52" x14ac:dyDescent="0.3">
      <c r="AW222" s="134" t="s">
        <v>26</v>
      </c>
      <c r="AX222" s="134" t="s">
        <v>154</v>
      </c>
      <c r="AY222" s="134" t="s">
        <v>154</v>
      </c>
      <c r="AZ222" s="134" t="str">
        <f t="shared" si="20"/>
        <v>Nord-Pas-de-CalaisNoyerNoyer</v>
      </c>
    </row>
    <row r="223" spans="49:52" x14ac:dyDescent="0.3">
      <c r="AW223" s="134" t="s">
        <v>26</v>
      </c>
      <c r="AX223" s="134" t="s">
        <v>158</v>
      </c>
      <c r="AY223" s="134" t="s">
        <v>635</v>
      </c>
      <c r="AZ223" s="134" t="str">
        <f t="shared" si="20"/>
        <v>Nord-Pas-de-CalaisPêcherNectarinier-Pêcher</v>
      </c>
    </row>
    <row r="224" spans="49:52" x14ac:dyDescent="0.3">
      <c r="AW224" s="134" t="s">
        <v>26</v>
      </c>
      <c r="AX224" s="134" t="s">
        <v>159</v>
      </c>
      <c r="AY224" s="134" t="s">
        <v>159</v>
      </c>
      <c r="AZ224" s="134" t="str">
        <f t="shared" si="20"/>
        <v>Nord-Pas-de-CalaisPoirierPoirier</v>
      </c>
    </row>
    <row r="225" spans="49:52" x14ac:dyDescent="0.3">
      <c r="AW225" s="134" t="s">
        <v>26</v>
      </c>
      <c r="AX225" s="134" t="s">
        <v>161</v>
      </c>
      <c r="AY225" s="134" t="s">
        <v>161</v>
      </c>
      <c r="AZ225" s="134" t="str">
        <f t="shared" si="20"/>
        <v>Nord-Pas-de-CalaisPommierPommier</v>
      </c>
    </row>
    <row r="226" spans="49:52" x14ac:dyDescent="0.3">
      <c r="AW226" s="134" t="s">
        <v>26</v>
      </c>
      <c r="AX226" s="134" t="s">
        <v>162</v>
      </c>
      <c r="AY226" s="134" t="s">
        <v>162</v>
      </c>
      <c r="AZ226" s="134" t="str">
        <f t="shared" si="20"/>
        <v>Nord-Pas-de-CalaisPrunierPrunier</v>
      </c>
    </row>
    <row r="227" spans="49:52" x14ac:dyDescent="0.3">
      <c r="AW227" s="134" t="s">
        <v>27</v>
      </c>
      <c r="AX227" s="134" t="s">
        <v>127</v>
      </c>
      <c r="AY227" s="134" t="s">
        <v>127</v>
      </c>
      <c r="AZ227" s="134" t="str">
        <f t="shared" si="20"/>
        <v>Pays de la LoireAbricotierAbricotier</v>
      </c>
    </row>
    <row r="228" spans="49:52" x14ac:dyDescent="0.3">
      <c r="AW228" s="134" t="s">
        <v>27</v>
      </c>
      <c r="AX228" s="134" t="s">
        <v>634</v>
      </c>
      <c r="AY228" s="134" t="s">
        <v>135</v>
      </c>
      <c r="AZ228" s="134" t="str">
        <f t="shared" si="20"/>
        <v>Pays de la LoireAgrumesClémentinier</v>
      </c>
    </row>
    <row r="229" spans="49:52" x14ac:dyDescent="0.3">
      <c r="AW229" s="134" t="s">
        <v>27</v>
      </c>
      <c r="AX229" s="134" t="s">
        <v>170</v>
      </c>
      <c r="AY229" s="134" t="s">
        <v>162</v>
      </c>
      <c r="AZ229" s="134" t="str">
        <f t="shared" si="20"/>
        <v>Pays de la LoireAutresPrunier</v>
      </c>
    </row>
    <row r="230" spans="49:52" x14ac:dyDescent="0.3">
      <c r="AW230" s="134" t="s">
        <v>27</v>
      </c>
      <c r="AX230" s="134" t="s">
        <v>132</v>
      </c>
      <c r="AY230" s="134" t="s">
        <v>132</v>
      </c>
      <c r="AZ230" s="134" t="str">
        <f t="shared" si="20"/>
        <v>Pays de la LoireCerisierCerisier</v>
      </c>
    </row>
    <row r="231" spans="49:52" x14ac:dyDescent="0.3">
      <c r="AW231" s="134" t="s">
        <v>27</v>
      </c>
      <c r="AX231" s="134" t="s">
        <v>145</v>
      </c>
      <c r="AY231" s="134" t="s">
        <v>145</v>
      </c>
      <c r="AZ231" s="134" t="str">
        <f t="shared" si="20"/>
        <v>Pays de la LoireMirabellierMirabellier</v>
      </c>
    </row>
    <row r="232" spans="49:52" x14ac:dyDescent="0.3">
      <c r="AW232" s="134" t="s">
        <v>27</v>
      </c>
      <c r="AX232" s="134" t="s">
        <v>151</v>
      </c>
      <c r="AY232" s="134" t="s">
        <v>635</v>
      </c>
      <c r="AZ232" s="134" t="str">
        <f t="shared" si="20"/>
        <v>Pays de la LoireNectarinierNectarinier-Pêcher</v>
      </c>
    </row>
    <row r="233" spans="49:52" x14ac:dyDescent="0.3">
      <c r="AW233" s="134" t="s">
        <v>27</v>
      </c>
      <c r="AX233" s="134" t="s">
        <v>154</v>
      </c>
      <c r="AY233" s="134" t="s">
        <v>154</v>
      </c>
      <c r="AZ233" s="134" t="str">
        <f t="shared" si="20"/>
        <v>Pays de la LoireNoyerNoyer</v>
      </c>
    </row>
    <row r="234" spans="49:52" x14ac:dyDescent="0.3">
      <c r="AW234" s="134" t="s">
        <v>27</v>
      </c>
      <c r="AX234" s="134" t="s">
        <v>158</v>
      </c>
      <c r="AY234" s="134" t="s">
        <v>635</v>
      </c>
      <c r="AZ234" s="134" t="str">
        <f t="shared" si="20"/>
        <v>Pays de la LoirePêcherNectarinier-Pêcher</v>
      </c>
    </row>
    <row r="235" spans="49:52" x14ac:dyDescent="0.3">
      <c r="AW235" s="134" t="s">
        <v>27</v>
      </c>
      <c r="AX235" s="134" t="s">
        <v>159</v>
      </c>
      <c r="AY235" s="134" t="s">
        <v>159</v>
      </c>
      <c r="AZ235" s="134" t="str">
        <f t="shared" si="20"/>
        <v>Pays de la LoirePoirierPoirier</v>
      </c>
    </row>
    <row r="236" spans="49:52" x14ac:dyDescent="0.3">
      <c r="AW236" s="134" t="s">
        <v>27</v>
      </c>
      <c r="AX236" s="134" t="s">
        <v>161</v>
      </c>
      <c r="AY236" s="134" t="s">
        <v>161</v>
      </c>
      <c r="AZ236" s="134" t="str">
        <f t="shared" si="20"/>
        <v>Pays de la LoirePommierPommier</v>
      </c>
    </row>
    <row r="237" spans="49:52" x14ac:dyDescent="0.3">
      <c r="AW237" s="134" t="s">
        <v>27</v>
      </c>
      <c r="AX237" s="134" t="s">
        <v>162</v>
      </c>
      <c r="AY237" s="134" t="s">
        <v>162</v>
      </c>
      <c r="AZ237" s="134" t="str">
        <f t="shared" si="20"/>
        <v>Pays de la LoirePrunierPrunier</v>
      </c>
    </row>
    <row r="238" spans="49:52" x14ac:dyDescent="0.3">
      <c r="AW238" s="134" t="s">
        <v>28</v>
      </c>
      <c r="AX238" s="134" t="s">
        <v>127</v>
      </c>
      <c r="AY238" s="134" t="s">
        <v>127</v>
      </c>
      <c r="AZ238" s="134" t="str">
        <f t="shared" si="20"/>
        <v>PicardieAbricotierAbricotier</v>
      </c>
    </row>
    <row r="239" spans="49:52" x14ac:dyDescent="0.3">
      <c r="AW239" s="134" t="s">
        <v>28</v>
      </c>
      <c r="AX239" s="134" t="s">
        <v>634</v>
      </c>
      <c r="AY239" s="134" t="s">
        <v>135</v>
      </c>
      <c r="AZ239" s="134" t="str">
        <f t="shared" si="20"/>
        <v>PicardieAgrumesClémentinier</v>
      </c>
    </row>
    <row r="240" spans="49:52" x14ac:dyDescent="0.3">
      <c r="AW240" s="134" t="s">
        <v>28</v>
      </c>
      <c r="AX240" s="134" t="s">
        <v>170</v>
      </c>
      <c r="AY240" s="134" t="s">
        <v>162</v>
      </c>
      <c r="AZ240" s="134" t="str">
        <f t="shared" si="20"/>
        <v>PicardieAutresPrunier</v>
      </c>
    </row>
    <row r="241" spans="49:52" x14ac:dyDescent="0.3">
      <c r="AW241" s="134" t="s">
        <v>28</v>
      </c>
      <c r="AX241" s="134" t="s">
        <v>132</v>
      </c>
      <c r="AY241" s="134" t="s">
        <v>132</v>
      </c>
      <c r="AZ241" s="134" t="str">
        <f t="shared" si="20"/>
        <v>PicardieCerisierCerisier</v>
      </c>
    </row>
    <row r="242" spans="49:52" x14ac:dyDescent="0.3">
      <c r="AW242" s="134" t="s">
        <v>28</v>
      </c>
      <c r="AX242" s="134" t="s">
        <v>145</v>
      </c>
      <c r="AY242" s="134" t="s">
        <v>145</v>
      </c>
      <c r="AZ242" s="134" t="str">
        <f t="shared" si="20"/>
        <v>PicardieMirabellierMirabellier</v>
      </c>
    </row>
    <row r="243" spans="49:52" x14ac:dyDescent="0.3">
      <c r="AW243" s="134" t="s">
        <v>28</v>
      </c>
      <c r="AX243" s="134" t="s">
        <v>151</v>
      </c>
      <c r="AY243" s="134" t="s">
        <v>635</v>
      </c>
      <c r="AZ243" s="134" t="str">
        <f t="shared" si="20"/>
        <v>PicardieNectarinierNectarinier-Pêcher</v>
      </c>
    </row>
    <row r="244" spans="49:52" x14ac:dyDescent="0.3">
      <c r="AW244" s="134" t="s">
        <v>28</v>
      </c>
      <c r="AX244" s="134" t="s">
        <v>154</v>
      </c>
      <c r="AY244" s="134" t="s">
        <v>154</v>
      </c>
      <c r="AZ244" s="134" t="str">
        <f t="shared" si="20"/>
        <v>PicardieNoyerNoyer</v>
      </c>
    </row>
    <row r="245" spans="49:52" x14ac:dyDescent="0.3">
      <c r="AW245" s="134" t="s">
        <v>28</v>
      </c>
      <c r="AX245" s="134" t="s">
        <v>158</v>
      </c>
      <c r="AY245" s="134" t="s">
        <v>635</v>
      </c>
      <c r="AZ245" s="134" t="str">
        <f t="shared" si="20"/>
        <v>PicardiePêcherNectarinier-Pêcher</v>
      </c>
    </row>
    <row r="246" spans="49:52" x14ac:dyDescent="0.3">
      <c r="AW246" s="134" t="s">
        <v>28</v>
      </c>
      <c r="AX246" s="134" t="s">
        <v>159</v>
      </c>
      <c r="AY246" s="134" t="s">
        <v>159</v>
      </c>
      <c r="AZ246" s="134" t="str">
        <f t="shared" si="20"/>
        <v>PicardiePoirierPoirier</v>
      </c>
    </row>
    <row r="247" spans="49:52" x14ac:dyDescent="0.3">
      <c r="AW247" s="134" t="s">
        <v>28</v>
      </c>
      <c r="AX247" s="134" t="s">
        <v>161</v>
      </c>
      <c r="AY247" s="134" t="s">
        <v>161</v>
      </c>
      <c r="AZ247" s="134" t="str">
        <f t="shared" si="20"/>
        <v>PicardiePommierPommier</v>
      </c>
    </row>
    <row r="248" spans="49:52" x14ac:dyDescent="0.3">
      <c r="AW248" s="134" t="s">
        <v>28</v>
      </c>
      <c r="AX248" s="134" t="s">
        <v>162</v>
      </c>
      <c r="AY248" s="134" t="s">
        <v>162</v>
      </c>
      <c r="AZ248" s="134" t="str">
        <f t="shared" si="20"/>
        <v>PicardiePrunierPrunier</v>
      </c>
    </row>
    <row r="249" spans="49:52" x14ac:dyDescent="0.3">
      <c r="AW249" s="134" t="s">
        <v>29</v>
      </c>
      <c r="AX249" s="134" t="s">
        <v>127</v>
      </c>
      <c r="AY249" s="134" t="s">
        <v>127</v>
      </c>
      <c r="AZ249" s="134" t="str">
        <f t="shared" si="20"/>
        <v>Poitou-CharentesAbricotierAbricotier</v>
      </c>
    </row>
    <row r="250" spans="49:52" x14ac:dyDescent="0.3">
      <c r="AW250" s="134" t="s">
        <v>29</v>
      </c>
      <c r="AX250" s="134" t="s">
        <v>634</v>
      </c>
      <c r="AY250" s="134" t="s">
        <v>135</v>
      </c>
      <c r="AZ250" s="134" t="str">
        <f t="shared" si="20"/>
        <v>Poitou-CharentesAgrumesClémentinier</v>
      </c>
    </row>
    <row r="251" spans="49:52" x14ac:dyDescent="0.3">
      <c r="AW251" s="134" t="s">
        <v>29</v>
      </c>
      <c r="AX251" s="134" t="s">
        <v>170</v>
      </c>
      <c r="AY251" s="134" t="s">
        <v>162</v>
      </c>
      <c r="AZ251" s="134" t="str">
        <f t="shared" si="20"/>
        <v>Poitou-CharentesAutresPrunier</v>
      </c>
    </row>
    <row r="252" spans="49:52" x14ac:dyDescent="0.3">
      <c r="AW252" s="134" t="s">
        <v>29</v>
      </c>
      <c r="AX252" s="134" t="s">
        <v>132</v>
      </c>
      <c r="AY252" s="134" t="s">
        <v>132</v>
      </c>
      <c r="AZ252" s="134" t="str">
        <f t="shared" si="20"/>
        <v>Poitou-CharentesCerisierCerisier</v>
      </c>
    </row>
    <row r="253" spans="49:52" x14ac:dyDescent="0.3">
      <c r="AW253" s="134" t="s">
        <v>29</v>
      </c>
      <c r="AX253" s="134" t="s">
        <v>145</v>
      </c>
      <c r="AY253" s="134" t="s">
        <v>145</v>
      </c>
      <c r="AZ253" s="134" t="str">
        <f t="shared" si="20"/>
        <v>Poitou-CharentesMirabellierMirabellier</v>
      </c>
    </row>
    <row r="254" spans="49:52" x14ac:dyDescent="0.3">
      <c r="AW254" s="134" t="s">
        <v>29</v>
      </c>
      <c r="AX254" s="134" t="s">
        <v>151</v>
      </c>
      <c r="AY254" s="134" t="s">
        <v>635</v>
      </c>
      <c r="AZ254" s="134" t="str">
        <f t="shared" si="20"/>
        <v>Poitou-CharentesNectarinierNectarinier-Pêcher</v>
      </c>
    </row>
    <row r="255" spans="49:52" x14ac:dyDescent="0.3">
      <c r="AW255" s="134" t="s">
        <v>29</v>
      </c>
      <c r="AX255" s="134" t="s">
        <v>154</v>
      </c>
      <c r="AY255" s="134" t="s">
        <v>154</v>
      </c>
      <c r="AZ255" s="134" t="str">
        <f t="shared" si="20"/>
        <v>Poitou-CharentesNoyerNoyer</v>
      </c>
    </row>
    <row r="256" spans="49:52" x14ac:dyDescent="0.3">
      <c r="AW256" s="134" t="s">
        <v>29</v>
      </c>
      <c r="AX256" s="134" t="s">
        <v>158</v>
      </c>
      <c r="AY256" s="134" t="s">
        <v>635</v>
      </c>
      <c r="AZ256" s="134" t="str">
        <f t="shared" si="20"/>
        <v>Poitou-CharentesPêcherNectarinier-Pêcher</v>
      </c>
    </row>
    <row r="257" spans="49:52" x14ac:dyDescent="0.3">
      <c r="AW257" s="134" t="s">
        <v>29</v>
      </c>
      <c r="AX257" s="134" t="s">
        <v>159</v>
      </c>
      <c r="AY257" s="134" t="s">
        <v>159</v>
      </c>
      <c r="AZ257" s="134" t="str">
        <f t="shared" si="20"/>
        <v>Poitou-CharentesPoirierPoirier</v>
      </c>
    </row>
    <row r="258" spans="49:52" x14ac:dyDescent="0.3">
      <c r="AW258" s="134" t="s">
        <v>29</v>
      </c>
      <c r="AX258" s="134" t="s">
        <v>161</v>
      </c>
      <c r="AY258" s="134" t="s">
        <v>161</v>
      </c>
      <c r="AZ258" s="134" t="str">
        <f t="shared" si="20"/>
        <v>Poitou-CharentesPommierPommier</v>
      </c>
    </row>
    <row r="259" spans="49:52" x14ac:dyDescent="0.3">
      <c r="AW259" s="134" t="s">
        <v>29</v>
      </c>
      <c r="AX259" s="134" t="s">
        <v>162</v>
      </c>
      <c r="AY259" s="134" t="s">
        <v>162</v>
      </c>
      <c r="AZ259" s="134" t="str">
        <f t="shared" si="20"/>
        <v>Poitou-CharentesPrunierPrunier</v>
      </c>
    </row>
    <row r="260" spans="49:52" x14ac:dyDescent="0.3">
      <c r="AW260" s="134" t="s">
        <v>30</v>
      </c>
      <c r="AX260" s="134" t="s">
        <v>127</v>
      </c>
      <c r="AY260" s="134" t="s">
        <v>127</v>
      </c>
      <c r="AZ260" s="134" t="str">
        <f t="shared" si="20"/>
        <v>Provence-Alpes-Côte d'AzurAbricotierAbricotier</v>
      </c>
    </row>
    <row r="261" spans="49:52" x14ac:dyDescent="0.3">
      <c r="AW261" s="134" t="s">
        <v>30</v>
      </c>
      <c r="AX261" s="134" t="s">
        <v>634</v>
      </c>
      <c r="AY261" s="134" t="s">
        <v>135</v>
      </c>
      <c r="AZ261" s="134" t="str">
        <f t="shared" si="20"/>
        <v>Provence-Alpes-Côte d'AzurAgrumesClémentinier</v>
      </c>
    </row>
    <row r="262" spans="49:52" x14ac:dyDescent="0.3">
      <c r="AW262" s="134" t="s">
        <v>30</v>
      </c>
      <c r="AX262" s="134" t="s">
        <v>170</v>
      </c>
      <c r="AY262" s="134" t="s">
        <v>162</v>
      </c>
      <c r="AZ262" s="134" t="str">
        <f t="shared" ref="AZ262:AZ281" si="21">AW262&amp;AX262&amp;AY262</f>
        <v>Provence-Alpes-Côte d'AzurAutresPrunier</v>
      </c>
    </row>
    <row r="263" spans="49:52" x14ac:dyDescent="0.3">
      <c r="AW263" s="134" t="s">
        <v>30</v>
      </c>
      <c r="AX263" s="134" t="s">
        <v>132</v>
      </c>
      <c r="AY263" s="134" t="s">
        <v>132</v>
      </c>
      <c r="AZ263" s="134" t="str">
        <f t="shared" si="21"/>
        <v>Provence-Alpes-Côte d'AzurCerisierCerisier</v>
      </c>
    </row>
    <row r="264" spans="49:52" x14ac:dyDescent="0.3">
      <c r="AW264" s="134" t="s">
        <v>30</v>
      </c>
      <c r="AX264" s="134" t="s">
        <v>145</v>
      </c>
      <c r="AY264" s="134" t="s">
        <v>145</v>
      </c>
      <c r="AZ264" s="134" t="str">
        <f t="shared" si="21"/>
        <v>Provence-Alpes-Côte d'AzurMirabellierMirabellier</v>
      </c>
    </row>
    <row r="265" spans="49:52" x14ac:dyDescent="0.3">
      <c r="AW265" s="134" t="s">
        <v>30</v>
      </c>
      <c r="AX265" s="134" t="s">
        <v>151</v>
      </c>
      <c r="AY265" s="134" t="s">
        <v>635</v>
      </c>
      <c r="AZ265" s="134" t="str">
        <f t="shared" si="21"/>
        <v>Provence-Alpes-Côte d'AzurNectarinierNectarinier-Pêcher</v>
      </c>
    </row>
    <row r="266" spans="49:52" x14ac:dyDescent="0.3">
      <c r="AW266" s="134" t="s">
        <v>30</v>
      </c>
      <c r="AX266" s="134" t="s">
        <v>154</v>
      </c>
      <c r="AY266" s="134" t="s">
        <v>154</v>
      </c>
      <c r="AZ266" s="134" t="str">
        <f t="shared" si="21"/>
        <v>Provence-Alpes-Côte d'AzurNoyerNoyer</v>
      </c>
    </row>
    <row r="267" spans="49:52" x14ac:dyDescent="0.3">
      <c r="AW267" s="134" t="s">
        <v>30</v>
      </c>
      <c r="AX267" s="134" t="s">
        <v>158</v>
      </c>
      <c r="AY267" s="134" t="s">
        <v>635</v>
      </c>
      <c r="AZ267" s="134" t="str">
        <f t="shared" si="21"/>
        <v>Provence-Alpes-Côte d'AzurPêcherNectarinier-Pêcher</v>
      </c>
    </row>
    <row r="268" spans="49:52" x14ac:dyDescent="0.3">
      <c r="AW268" s="134" t="s">
        <v>30</v>
      </c>
      <c r="AX268" s="134" t="s">
        <v>159</v>
      </c>
      <c r="AY268" s="134" t="s">
        <v>159</v>
      </c>
      <c r="AZ268" s="134" t="str">
        <f t="shared" si="21"/>
        <v>Provence-Alpes-Côte d'AzurPoirierPoirier</v>
      </c>
    </row>
    <row r="269" spans="49:52" x14ac:dyDescent="0.3">
      <c r="AW269" s="134" t="s">
        <v>30</v>
      </c>
      <c r="AX269" s="134" t="s">
        <v>161</v>
      </c>
      <c r="AY269" s="134" t="s">
        <v>161</v>
      </c>
      <c r="AZ269" s="134" t="str">
        <f t="shared" si="21"/>
        <v>Provence-Alpes-Côte d'AzurPommierPommier</v>
      </c>
    </row>
    <row r="270" spans="49:52" x14ac:dyDescent="0.3">
      <c r="AW270" s="134" t="s">
        <v>30</v>
      </c>
      <c r="AX270" s="134" t="s">
        <v>162</v>
      </c>
      <c r="AY270" s="134" t="s">
        <v>162</v>
      </c>
      <c r="AZ270" s="134" t="str">
        <f t="shared" si="21"/>
        <v>Provence-Alpes-Côte d'AzurPrunierPrunier</v>
      </c>
    </row>
    <row r="271" spans="49:52" x14ac:dyDescent="0.3">
      <c r="AW271" s="134" t="s">
        <v>31</v>
      </c>
      <c r="AX271" s="134" t="s">
        <v>127</v>
      </c>
      <c r="AY271" s="134" t="s">
        <v>127</v>
      </c>
      <c r="AZ271" s="134" t="str">
        <f t="shared" si="21"/>
        <v>Rhône-AlpesAbricotierAbricotier</v>
      </c>
    </row>
    <row r="272" spans="49:52" x14ac:dyDescent="0.3">
      <c r="AW272" s="134" t="s">
        <v>31</v>
      </c>
      <c r="AX272" s="134" t="s">
        <v>634</v>
      </c>
      <c r="AY272" s="134" t="s">
        <v>135</v>
      </c>
      <c r="AZ272" s="134" t="str">
        <f t="shared" si="21"/>
        <v>Rhône-AlpesAgrumesClémentinier</v>
      </c>
    </row>
    <row r="273" spans="49:52" x14ac:dyDescent="0.3">
      <c r="AW273" s="134" t="s">
        <v>31</v>
      </c>
      <c r="AX273" s="134" t="s">
        <v>170</v>
      </c>
      <c r="AY273" s="134" t="s">
        <v>162</v>
      </c>
      <c r="AZ273" s="134" t="str">
        <f t="shared" si="21"/>
        <v>Rhône-AlpesAutresPrunier</v>
      </c>
    </row>
    <row r="274" spans="49:52" x14ac:dyDescent="0.3">
      <c r="AW274" s="134" t="s">
        <v>31</v>
      </c>
      <c r="AX274" s="134" t="s">
        <v>132</v>
      </c>
      <c r="AY274" s="134" t="s">
        <v>132</v>
      </c>
      <c r="AZ274" s="134" t="str">
        <f t="shared" si="21"/>
        <v>Rhône-AlpesCerisierCerisier</v>
      </c>
    </row>
    <row r="275" spans="49:52" x14ac:dyDescent="0.3">
      <c r="AW275" s="134" t="s">
        <v>31</v>
      </c>
      <c r="AX275" s="134" t="s">
        <v>145</v>
      </c>
      <c r="AY275" s="134" t="s">
        <v>145</v>
      </c>
      <c r="AZ275" s="134" t="str">
        <f t="shared" si="21"/>
        <v>Rhône-AlpesMirabellierMirabellier</v>
      </c>
    </row>
    <row r="276" spans="49:52" x14ac:dyDescent="0.3">
      <c r="AW276" s="134" t="s">
        <v>31</v>
      </c>
      <c r="AX276" s="134" t="s">
        <v>151</v>
      </c>
      <c r="AY276" s="134" t="s">
        <v>635</v>
      </c>
      <c r="AZ276" s="134" t="str">
        <f t="shared" si="21"/>
        <v>Rhône-AlpesNectarinierNectarinier-Pêcher</v>
      </c>
    </row>
    <row r="277" spans="49:52" x14ac:dyDescent="0.3">
      <c r="AW277" s="134" t="s">
        <v>31</v>
      </c>
      <c r="AX277" s="134" t="s">
        <v>154</v>
      </c>
      <c r="AY277" s="134" t="s">
        <v>154</v>
      </c>
      <c r="AZ277" s="134" t="str">
        <f t="shared" si="21"/>
        <v>Rhône-AlpesNoyerNoyer</v>
      </c>
    </row>
    <row r="278" spans="49:52" x14ac:dyDescent="0.3">
      <c r="AW278" s="134" t="s">
        <v>31</v>
      </c>
      <c r="AX278" s="134" t="s">
        <v>158</v>
      </c>
      <c r="AY278" s="134" t="s">
        <v>635</v>
      </c>
      <c r="AZ278" s="134" t="str">
        <f t="shared" si="21"/>
        <v>Rhône-AlpesPêcherNectarinier-Pêcher</v>
      </c>
    </row>
    <row r="279" spans="49:52" x14ac:dyDescent="0.3">
      <c r="AW279" s="134" t="s">
        <v>31</v>
      </c>
      <c r="AX279" s="134" t="s">
        <v>159</v>
      </c>
      <c r="AY279" s="134" t="s">
        <v>159</v>
      </c>
      <c r="AZ279" s="134" t="str">
        <f t="shared" si="21"/>
        <v>Rhône-AlpesPoirierPoirier</v>
      </c>
    </row>
    <row r="280" spans="49:52" x14ac:dyDescent="0.3">
      <c r="AW280" s="134" t="s">
        <v>31</v>
      </c>
      <c r="AX280" s="134" t="s">
        <v>161</v>
      </c>
      <c r="AY280" s="134" t="s">
        <v>161</v>
      </c>
      <c r="AZ280" s="134" t="str">
        <f t="shared" si="21"/>
        <v>Rhône-AlpesPommierPommier</v>
      </c>
    </row>
    <row r="281" spans="49:52" x14ac:dyDescent="0.3">
      <c r="AW281" s="134" t="s">
        <v>31</v>
      </c>
      <c r="AX281" s="134" t="s">
        <v>162</v>
      </c>
      <c r="AY281" s="134" t="s">
        <v>162</v>
      </c>
      <c r="AZ281" s="134" t="str">
        <f t="shared" si="21"/>
        <v>Rhône-AlpesPrunierPrunier</v>
      </c>
    </row>
  </sheetData>
  <mergeCells count="20">
    <mergeCell ref="BK4:BL4"/>
    <mergeCell ref="O4:O12"/>
    <mergeCell ref="O13:O25"/>
    <mergeCell ref="U3:W3"/>
    <mergeCell ref="AK9:AL9"/>
    <mergeCell ref="AK10:AM10"/>
    <mergeCell ref="AK11:AM11"/>
    <mergeCell ref="AK12:AM12"/>
    <mergeCell ref="P2:S2"/>
    <mergeCell ref="Q3:R3"/>
    <mergeCell ref="S3:T3"/>
    <mergeCell ref="AH3:AI3"/>
    <mergeCell ref="X2:AA2"/>
    <mergeCell ref="AB2:AE2"/>
    <mergeCell ref="AF2:AI2"/>
    <mergeCell ref="AB3:AC3"/>
    <mergeCell ref="AD3:AE3"/>
    <mergeCell ref="AF3:AG3"/>
    <mergeCell ref="X3:Y3"/>
    <mergeCell ref="Z3:AA3"/>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5">
    <tabColor theme="5"/>
  </sheetPr>
  <dimension ref="B3:Q15"/>
  <sheetViews>
    <sheetView workbookViewId="0">
      <selection activeCell="G18" sqref="G18"/>
    </sheetView>
  </sheetViews>
  <sheetFormatPr baseColWidth="10" defaultRowHeight="14.4" x14ac:dyDescent="0.3"/>
  <cols>
    <col min="1" max="1" width="6.88671875" customWidth="1"/>
    <col min="2" max="2" width="20" bestFit="1" customWidth="1"/>
    <col min="3" max="17" width="6.5546875" customWidth="1"/>
  </cols>
  <sheetData>
    <row r="3" spans="2:17" x14ac:dyDescent="0.3">
      <c r="B3" t="s">
        <v>2877</v>
      </c>
      <c r="C3" s="1032">
        <f>SIRET_EXPLOITATION</f>
        <v>0</v>
      </c>
      <c r="D3" s="1032"/>
      <c r="E3" s="1032"/>
      <c r="F3" s="115"/>
    </row>
    <row r="4" spans="2:17" x14ac:dyDescent="0.3">
      <c r="B4" t="s">
        <v>2873</v>
      </c>
      <c r="C4" s="102">
        <v>1</v>
      </c>
      <c r="D4" s="102">
        <v>2</v>
      </c>
      <c r="E4" s="102">
        <v>3</v>
      </c>
      <c r="F4" s="102">
        <v>4</v>
      </c>
      <c r="G4" s="102">
        <v>5</v>
      </c>
      <c r="H4" s="102">
        <v>6</v>
      </c>
      <c r="I4" s="102">
        <v>7</v>
      </c>
      <c r="J4" s="102">
        <v>8</v>
      </c>
      <c r="K4" s="102">
        <v>9</v>
      </c>
      <c r="L4" s="102">
        <v>10</v>
      </c>
      <c r="M4" s="102">
        <v>11</v>
      </c>
      <c r="N4" s="102">
        <v>12</v>
      </c>
      <c r="O4" s="102">
        <v>13</v>
      </c>
      <c r="P4" s="102">
        <v>14</v>
      </c>
    </row>
    <row r="5" spans="2:17" x14ac:dyDescent="0.3">
      <c r="B5" t="s">
        <v>2874</v>
      </c>
      <c r="C5" s="102" t="str">
        <f>LEFT($C$3,1)</f>
        <v>0</v>
      </c>
      <c r="D5" s="102" t="str">
        <f t="shared" ref="D5:P5" si="0">RIGHT(LEFT($C$3,D4))</f>
        <v>0</v>
      </c>
      <c r="E5" s="102" t="str">
        <f t="shared" si="0"/>
        <v>0</v>
      </c>
      <c r="F5" s="102" t="str">
        <f t="shared" si="0"/>
        <v>0</v>
      </c>
      <c r="G5" s="102" t="str">
        <f t="shared" si="0"/>
        <v>0</v>
      </c>
      <c r="H5" s="102" t="str">
        <f t="shared" si="0"/>
        <v>0</v>
      </c>
      <c r="I5" s="102" t="str">
        <f t="shared" si="0"/>
        <v>0</v>
      </c>
      <c r="J5" s="102" t="str">
        <f t="shared" si="0"/>
        <v>0</v>
      </c>
      <c r="K5" s="102" t="str">
        <f t="shared" si="0"/>
        <v>0</v>
      </c>
      <c r="L5" s="102" t="str">
        <f t="shared" si="0"/>
        <v>0</v>
      </c>
      <c r="M5" s="102" t="str">
        <f t="shared" si="0"/>
        <v>0</v>
      </c>
      <c r="N5" s="102" t="str">
        <f t="shared" si="0"/>
        <v>0</v>
      </c>
      <c r="O5" s="102" t="str">
        <f t="shared" si="0"/>
        <v>0</v>
      </c>
      <c r="P5" s="102" t="str">
        <f t="shared" si="0"/>
        <v>0</v>
      </c>
    </row>
    <row r="6" spans="2:17" x14ac:dyDescent="0.3">
      <c r="B6" t="s">
        <v>2875</v>
      </c>
      <c r="C6" s="102">
        <f t="shared" ref="C6" si="1">C5*2</f>
        <v>0</v>
      </c>
      <c r="D6" s="102">
        <f>D5*1</f>
        <v>0</v>
      </c>
      <c r="E6" s="102">
        <f t="shared" ref="E6" si="2">E5*2</f>
        <v>0</v>
      </c>
      <c r="F6" s="102">
        <f t="shared" ref="F6" si="3">F5*1</f>
        <v>0</v>
      </c>
      <c r="G6" s="102">
        <f t="shared" ref="G6" si="4">G5*2</f>
        <v>0</v>
      </c>
      <c r="H6" s="102">
        <f t="shared" ref="H6" si="5">H5*1</f>
        <v>0</v>
      </c>
      <c r="I6" s="102">
        <f t="shared" ref="I6" si="6">I5*2</f>
        <v>0</v>
      </c>
      <c r="J6" s="102">
        <f t="shared" ref="J6" si="7">J5*1</f>
        <v>0</v>
      </c>
      <c r="K6" s="102">
        <f t="shared" ref="K6" si="8">K5*2</f>
        <v>0</v>
      </c>
      <c r="L6" s="102">
        <f t="shared" ref="L6" si="9">L5*1</f>
        <v>0</v>
      </c>
      <c r="M6" s="102">
        <f t="shared" ref="M6" si="10">M5*2</f>
        <v>0</v>
      </c>
      <c r="N6" s="102">
        <f t="shared" ref="N6" si="11">N5*1</f>
        <v>0</v>
      </c>
      <c r="O6" s="102">
        <f t="shared" ref="O6" si="12">O5*2</f>
        <v>0</v>
      </c>
      <c r="P6" s="102">
        <f t="shared" ref="P6" si="13">P5*1</f>
        <v>0</v>
      </c>
    </row>
    <row r="7" spans="2:17" x14ac:dyDescent="0.3">
      <c r="B7" t="s">
        <v>2876</v>
      </c>
      <c r="C7" s="102">
        <f>IF(C6&gt;=10,LEFT(C6,1)+RIGHT(C6,1),C6)</f>
        <v>0</v>
      </c>
      <c r="D7" s="102">
        <f t="shared" ref="D7:P7" si="14">IF(D6&gt;=10,LEFT(D6,1)+RIGHT(D6,1),D6)</f>
        <v>0</v>
      </c>
      <c r="E7" s="102">
        <f t="shared" si="14"/>
        <v>0</v>
      </c>
      <c r="F7" s="102">
        <f t="shared" si="14"/>
        <v>0</v>
      </c>
      <c r="G7" s="102">
        <f t="shared" si="14"/>
        <v>0</v>
      </c>
      <c r="H7" s="102">
        <f t="shared" si="14"/>
        <v>0</v>
      </c>
      <c r="I7" s="102">
        <f t="shared" si="14"/>
        <v>0</v>
      </c>
      <c r="J7" s="102">
        <f t="shared" si="14"/>
        <v>0</v>
      </c>
      <c r="K7" s="102">
        <f t="shared" si="14"/>
        <v>0</v>
      </c>
      <c r="L7" s="102">
        <f t="shared" si="14"/>
        <v>0</v>
      </c>
      <c r="M7" s="102">
        <f t="shared" si="14"/>
        <v>0</v>
      </c>
      <c r="N7" s="102">
        <f t="shared" si="14"/>
        <v>0</v>
      </c>
      <c r="O7" s="102">
        <f t="shared" si="14"/>
        <v>0</v>
      </c>
      <c r="P7" s="102">
        <f t="shared" si="14"/>
        <v>0</v>
      </c>
      <c r="Q7">
        <f>SUM(C7:P7)</f>
        <v>0</v>
      </c>
    </row>
    <row r="11" spans="2:17" x14ac:dyDescent="0.3">
      <c r="B11" t="s">
        <v>2878</v>
      </c>
      <c r="C11" s="1032">
        <f>GESCO_SIRET_SC</f>
        <v>0</v>
      </c>
      <c r="D11" s="1032"/>
      <c r="E11" s="1032"/>
      <c r="F11" s="115"/>
    </row>
    <row r="12" spans="2:17" x14ac:dyDescent="0.3">
      <c r="B12" t="s">
        <v>2873</v>
      </c>
      <c r="C12" s="102">
        <v>1</v>
      </c>
      <c r="D12" s="102">
        <v>2</v>
      </c>
      <c r="E12" s="102">
        <v>3</v>
      </c>
      <c r="F12" s="102">
        <v>4</v>
      </c>
      <c r="G12" s="102">
        <v>5</v>
      </c>
      <c r="H12" s="102">
        <v>6</v>
      </c>
      <c r="I12" s="102">
        <v>7</v>
      </c>
      <c r="J12" s="102">
        <v>8</v>
      </c>
      <c r="K12" s="102">
        <v>9</v>
      </c>
      <c r="L12" s="102">
        <v>10</v>
      </c>
      <c r="M12" s="102">
        <v>11</v>
      </c>
      <c r="N12" s="102">
        <v>12</v>
      </c>
      <c r="O12" s="102">
        <v>13</v>
      </c>
      <c r="P12" s="102">
        <v>14</v>
      </c>
    </row>
    <row r="13" spans="2:17" x14ac:dyDescent="0.3">
      <c r="B13" t="s">
        <v>2874</v>
      </c>
      <c r="C13" s="102" t="str">
        <f>LEFT($C$11,1)</f>
        <v>0</v>
      </c>
      <c r="D13" s="102" t="str">
        <f>RIGHT(LEFT($C$11,D12))</f>
        <v>0</v>
      </c>
      <c r="E13" s="102" t="str">
        <f t="shared" ref="E13:P13" si="15">RIGHT(LEFT($C$11,E12))</f>
        <v>0</v>
      </c>
      <c r="F13" s="102" t="str">
        <f t="shared" si="15"/>
        <v>0</v>
      </c>
      <c r="G13" s="102" t="str">
        <f t="shared" si="15"/>
        <v>0</v>
      </c>
      <c r="H13" s="102" t="str">
        <f t="shared" si="15"/>
        <v>0</v>
      </c>
      <c r="I13" s="102" t="str">
        <f t="shared" si="15"/>
        <v>0</v>
      </c>
      <c r="J13" s="102" t="str">
        <f t="shared" si="15"/>
        <v>0</v>
      </c>
      <c r="K13" s="102" t="str">
        <f t="shared" si="15"/>
        <v>0</v>
      </c>
      <c r="L13" s="102" t="str">
        <f t="shared" si="15"/>
        <v>0</v>
      </c>
      <c r="M13" s="102" t="str">
        <f t="shared" si="15"/>
        <v>0</v>
      </c>
      <c r="N13" s="102" t="str">
        <f t="shared" si="15"/>
        <v>0</v>
      </c>
      <c r="O13" s="102" t="str">
        <f t="shared" si="15"/>
        <v>0</v>
      </c>
      <c r="P13" s="102" t="str">
        <f t="shared" si="15"/>
        <v>0</v>
      </c>
    </row>
    <row r="14" spans="2:17" x14ac:dyDescent="0.3">
      <c r="B14" t="s">
        <v>2875</v>
      </c>
      <c r="C14" s="102">
        <f t="shared" ref="C14" si="16">C13*2</f>
        <v>0</v>
      </c>
      <c r="D14" s="102">
        <f>D13*1</f>
        <v>0</v>
      </c>
      <c r="E14" s="102">
        <f t="shared" ref="E14" si="17">E13*2</f>
        <v>0</v>
      </c>
      <c r="F14" s="102">
        <f t="shared" ref="F14" si="18">F13*1</f>
        <v>0</v>
      </c>
      <c r="G14" s="102">
        <f t="shared" ref="G14" si="19">G13*2</f>
        <v>0</v>
      </c>
      <c r="H14" s="102">
        <f t="shared" ref="H14" si="20">H13*1</f>
        <v>0</v>
      </c>
      <c r="I14" s="102">
        <f t="shared" ref="I14" si="21">I13*2</f>
        <v>0</v>
      </c>
      <c r="J14" s="102">
        <f t="shared" ref="J14" si="22">J13*1</f>
        <v>0</v>
      </c>
      <c r="K14" s="102">
        <f t="shared" ref="K14" si="23">K13*2</f>
        <v>0</v>
      </c>
      <c r="L14" s="102">
        <f t="shared" ref="L14" si="24">L13*1</f>
        <v>0</v>
      </c>
      <c r="M14" s="102">
        <f t="shared" ref="M14" si="25">M13*2</f>
        <v>0</v>
      </c>
      <c r="N14" s="102">
        <f t="shared" ref="N14" si="26">N13*1</f>
        <v>0</v>
      </c>
      <c r="O14" s="102">
        <f t="shared" ref="O14" si="27">O13*2</f>
        <v>0</v>
      </c>
      <c r="P14" s="102">
        <f t="shared" ref="P14" si="28">P13*1</f>
        <v>0</v>
      </c>
    </row>
    <row r="15" spans="2:17" x14ac:dyDescent="0.3">
      <c r="B15" t="s">
        <v>2876</v>
      </c>
      <c r="C15" s="102">
        <f>IF(C14&gt;=10,LEFT(C14,1)+RIGHT(C14,1),C14)</f>
        <v>0</v>
      </c>
      <c r="D15" s="102">
        <f t="shared" ref="D15:P15" si="29">IF(D14&gt;=10,LEFT(D14,1)+RIGHT(D14,1),D14)</f>
        <v>0</v>
      </c>
      <c r="E15" s="102">
        <f t="shared" si="29"/>
        <v>0</v>
      </c>
      <c r="F15" s="102">
        <f t="shared" si="29"/>
        <v>0</v>
      </c>
      <c r="G15" s="102">
        <f t="shared" si="29"/>
        <v>0</v>
      </c>
      <c r="H15" s="102">
        <f t="shared" si="29"/>
        <v>0</v>
      </c>
      <c r="I15" s="102">
        <f t="shared" si="29"/>
        <v>0</v>
      </c>
      <c r="J15" s="102">
        <f t="shared" si="29"/>
        <v>0</v>
      </c>
      <c r="K15" s="102">
        <f t="shared" si="29"/>
        <v>0</v>
      </c>
      <c r="L15" s="102">
        <f t="shared" si="29"/>
        <v>0</v>
      </c>
      <c r="M15" s="102">
        <f t="shared" si="29"/>
        <v>0</v>
      </c>
      <c r="N15" s="102">
        <f t="shared" si="29"/>
        <v>0</v>
      </c>
      <c r="O15" s="102">
        <f t="shared" si="29"/>
        <v>0</v>
      </c>
      <c r="P15" s="102">
        <f t="shared" si="29"/>
        <v>0</v>
      </c>
      <c r="Q15">
        <f>SUM(C15:P15)</f>
        <v>0</v>
      </c>
    </row>
  </sheetData>
  <mergeCells count="2">
    <mergeCell ref="C3:E3"/>
    <mergeCell ref="C11:E1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euil7">
    <tabColor theme="5"/>
  </sheetPr>
  <dimension ref="A2:M42"/>
  <sheetViews>
    <sheetView workbookViewId="0">
      <selection activeCell="H12" sqref="H12"/>
    </sheetView>
  </sheetViews>
  <sheetFormatPr baseColWidth="10" defaultRowHeight="14.4" x14ac:dyDescent="0.3"/>
  <cols>
    <col min="1" max="1" width="59" bestFit="1" customWidth="1"/>
  </cols>
  <sheetData>
    <row r="2" spans="1:13" ht="43.2" x14ac:dyDescent="0.3">
      <c r="A2" t="s">
        <v>2914</v>
      </c>
      <c r="B2" s="475" t="s">
        <v>2909</v>
      </c>
      <c r="C2" s="475" t="s">
        <v>2910</v>
      </c>
      <c r="D2" s="475" t="s">
        <v>2911</v>
      </c>
      <c r="E2" s="475" t="s">
        <v>2911</v>
      </c>
      <c r="F2" s="475" t="s">
        <v>2912</v>
      </c>
      <c r="G2" s="475" t="s">
        <v>2913</v>
      </c>
      <c r="H2" s="475"/>
      <c r="J2" s="476" t="s">
        <v>2921</v>
      </c>
    </row>
    <row r="3" spans="1:13" x14ac:dyDescent="0.3">
      <c r="A3" s="360" t="s">
        <v>2915</v>
      </c>
      <c r="B3">
        <f>LEN($A3)-LEN(SUBSTITUTE($A3,"@",""))</f>
        <v>1</v>
      </c>
      <c r="C3">
        <f t="shared" ref="C3" si="0">LEN($A3)-SUMPRODUCT((LEN($A3)-LEN(SUBSTITUTE($A3,$J$2:$J$41,""))))</f>
        <v>0</v>
      </c>
      <c r="D3">
        <f t="shared" ref="D3" si="1">FIND("@",$A3,1)</f>
        <v>12</v>
      </c>
      <c r="E3">
        <f>LEN($A3)-FIND("@",$A3,1)</f>
        <v>9</v>
      </c>
      <c r="F3">
        <f>LEN($A3)</f>
        <v>21</v>
      </c>
      <c r="G3">
        <f t="shared" ref="G3" si="2">LEN($A3)-SEARCH("µ",SUBSTITUTE($A3,".","µ",LEN($A3)-LEN(SUBSTITUTE($A3,".",""))))+1</f>
        <v>3</v>
      </c>
      <c r="J3" s="477" t="s">
        <v>2753</v>
      </c>
    </row>
    <row r="4" spans="1:13" x14ac:dyDescent="0.3">
      <c r="J4" s="477" t="s">
        <v>2922</v>
      </c>
    </row>
    <row r="5" spans="1:13" x14ac:dyDescent="0.3">
      <c r="J5" s="477">
        <v>0</v>
      </c>
    </row>
    <row r="6" spans="1:13" x14ac:dyDescent="0.3">
      <c r="J6" s="477">
        <v>1</v>
      </c>
    </row>
    <row r="7" spans="1:13" x14ac:dyDescent="0.3">
      <c r="J7" s="477">
        <v>2</v>
      </c>
    </row>
    <row r="8" spans="1:13" x14ac:dyDescent="0.3">
      <c r="B8" t="str">
        <f>SUBSTITUTE(A3,"@","")</f>
        <v>adressemaildetest.fr</v>
      </c>
      <c r="J8" s="477">
        <v>3</v>
      </c>
      <c r="M8" t="str">
        <f>LEFT(A3,FIND("@",A3)-1)</f>
        <v>adressemail</v>
      </c>
    </row>
    <row r="9" spans="1:13" x14ac:dyDescent="0.3">
      <c r="J9" s="477">
        <v>4</v>
      </c>
    </row>
    <row r="10" spans="1:13" x14ac:dyDescent="0.3">
      <c r="J10" s="477">
        <v>5</v>
      </c>
    </row>
    <row r="11" spans="1:13" x14ac:dyDescent="0.3">
      <c r="J11" s="477">
        <v>6</v>
      </c>
    </row>
    <row r="12" spans="1:13" x14ac:dyDescent="0.3">
      <c r="A12" t="s">
        <v>2916</v>
      </c>
      <c r="J12" s="477">
        <v>7</v>
      </c>
    </row>
    <row r="13" spans="1:13" x14ac:dyDescent="0.3">
      <c r="A13" t="s">
        <v>2919</v>
      </c>
      <c r="J13" s="477">
        <v>8</v>
      </c>
    </row>
    <row r="14" spans="1:13" x14ac:dyDescent="0.3">
      <c r="A14" t="s">
        <v>2917</v>
      </c>
      <c r="J14" s="477">
        <v>9</v>
      </c>
    </row>
    <row r="15" spans="1:13" x14ac:dyDescent="0.3">
      <c r="A15" t="s">
        <v>2918</v>
      </c>
      <c r="J15" s="477" t="s">
        <v>2909</v>
      </c>
    </row>
    <row r="16" spans="1:13" x14ac:dyDescent="0.3">
      <c r="A16" t="s">
        <v>2920</v>
      </c>
      <c r="J16" s="477" t="s">
        <v>2923</v>
      </c>
    </row>
    <row r="17" spans="10:10" x14ac:dyDescent="0.3">
      <c r="J17" s="477" t="s">
        <v>2924</v>
      </c>
    </row>
    <row r="18" spans="10:10" x14ac:dyDescent="0.3">
      <c r="J18" s="477" t="s">
        <v>2925</v>
      </c>
    </row>
    <row r="19" spans="10:10" x14ac:dyDescent="0.3">
      <c r="J19" s="477" t="s">
        <v>2926</v>
      </c>
    </row>
    <row r="20" spans="10:10" x14ac:dyDescent="0.3">
      <c r="J20" s="477" t="s">
        <v>2927</v>
      </c>
    </row>
    <row r="21" spans="10:10" x14ac:dyDescent="0.3">
      <c r="J21" s="477" t="s">
        <v>2928</v>
      </c>
    </row>
    <row r="22" spans="10:10" x14ac:dyDescent="0.3">
      <c r="J22" s="477" t="s">
        <v>2929</v>
      </c>
    </row>
    <row r="23" spans="10:10" x14ac:dyDescent="0.3">
      <c r="J23" s="477" t="s">
        <v>2930</v>
      </c>
    </row>
    <row r="24" spans="10:10" x14ac:dyDescent="0.3">
      <c r="J24" s="477" t="s">
        <v>2931</v>
      </c>
    </row>
    <row r="25" spans="10:10" x14ac:dyDescent="0.3">
      <c r="J25" s="477" t="s">
        <v>2932</v>
      </c>
    </row>
    <row r="26" spans="10:10" x14ac:dyDescent="0.3">
      <c r="J26" s="477" t="s">
        <v>2933</v>
      </c>
    </row>
    <row r="27" spans="10:10" x14ac:dyDescent="0.3">
      <c r="J27" s="477" t="s">
        <v>2934</v>
      </c>
    </row>
    <row r="28" spans="10:10" x14ac:dyDescent="0.3">
      <c r="J28" s="477" t="s">
        <v>2935</v>
      </c>
    </row>
    <row r="29" spans="10:10" x14ac:dyDescent="0.3">
      <c r="J29" s="477" t="s">
        <v>2936</v>
      </c>
    </row>
    <row r="30" spans="10:10" x14ac:dyDescent="0.3">
      <c r="J30" s="477" t="s">
        <v>2937</v>
      </c>
    </row>
    <row r="31" spans="10:10" x14ac:dyDescent="0.3">
      <c r="J31" s="477" t="s">
        <v>2938</v>
      </c>
    </row>
    <row r="32" spans="10:10" x14ac:dyDescent="0.3">
      <c r="J32" s="477" t="s">
        <v>2939</v>
      </c>
    </row>
    <row r="33" spans="10:10" x14ac:dyDescent="0.3">
      <c r="J33" s="477" t="s">
        <v>2940</v>
      </c>
    </row>
    <row r="34" spans="10:10" x14ac:dyDescent="0.3">
      <c r="J34" s="477" t="s">
        <v>2941</v>
      </c>
    </row>
    <row r="35" spans="10:10" x14ac:dyDescent="0.3">
      <c r="J35" s="477" t="s">
        <v>2942</v>
      </c>
    </row>
    <row r="36" spans="10:10" x14ac:dyDescent="0.3">
      <c r="J36" s="477" t="s">
        <v>2943</v>
      </c>
    </row>
    <row r="37" spans="10:10" x14ac:dyDescent="0.3">
      <c r="J37" s="477" t="s">
        <v>2944</v>
      </c>
    </row>
    <row r="38" spans="10:10" x14ac:dyDescent="0.3">
      <c r="J38" s="477" t="s">
        <v>2945</v>
      </c>
    </row>
    <row r="39" spans="10:10" x14ac:dyDescent="0.3">
      <c r="J39" s="477" t="s">
        <v>2946</v>
      </c>
    </row>
    <row r="40" spans="10:10" x14ac:dyDescent="0.3">
      <c r="J40" s="477" t="s">
        <v>206</v>
      </c>
    </row>
    <row r="41" spans="10:10" x14ac:dyDescent="0.3">
      <c r="J41" s="477" t="s">
        <v>2947</v>
      </c>
    </row>
    <row r="42" spans="10:10" x14ac:dyDescent="0.3">
      <c r="J42" s="477" t="s">
        <v>2948</v>
      </c>
    </row>
  </sheetData>
  <hyperlinks>
    <hyperlink ref="A3" r:id="rId1" xr:uid="{00000000-0004-0000-0D00-000000000000}"/>
  </hyperlinks>
  <pageMargins left="0.7" right="0.7" top="0.75" bottom="0.75" header="0.3" footer="0.3"/>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tabColor rgb="FF800000"/>
  </sheetPr>
  <dimension ref="A1:C70"/>
  <sheetViews>
    <sheetView showGridLines="0" zoomScaleNormal="100" workbookViewId="0">
      <selection activeCell="F19" sqref="F19"/>
    </sheetView>
  </sheetViews>
  <sheetFormatPr baseColWidth="10" defaultColWidth="9.109375" defaultRowHeight="14.4" x14ac:dyDescent="0.3"/>
  <cols>
    <col min="1" max="1" width="83.44140625" customWidth="1"/>
    <col min="2" max="2" width="9.109375" style="36"/>
    <col min="3" max="3" width="107.5546875" bestFit="1" customWidth="1"/>
  </cols>
  <sheetData>
    <row r="1" spans="1:3" x14ac:dyDescent="0.3">
      <c r="A1" s="42" t="s">
        <v>2389</v>
      </c>
    </row>
    <row r="3" spans="1:3" x14ac:dyDescent="0.3">
      <c r="A3" s="360" t="s">
        <v>2390</v>
      </c>
    </row>
    <row r="5" spans="1:3" ht="33" customHeight="1" x14ac:dyDescent="0.3">
      <c r="A5" s="1050" t="s">
        <v>2963</v>
      </c>
      <c r="B5" s="1050"/>
      <c r="C5" s="1050"/>
    </row>
    <row r="6" spans="1:3" ht="15" thickBot="1" x14ac:dyDescent="0.35">
      <c r="A6" s="345"/>
      <c r="B6" s="351"/>
    </row>
    <row r="7" spans="1:3" x14ac:dyDescent="0.3">
      <c r="A7" s="348" t="s">
        <v>2460</v>
      </c>
      <c r="B7" s="349" t="s">
        <v>2461</v>
      </c>
      <c r="C7" s="350" t="s">
        <v>2462</v>
      </c>
    </row>
    <row r="8" spans="1:3" x14ac:dyDescent="0.3">
      <c r="A8" s="354" t="s">
        <v>2391</v>
      </c>
      <c r="B8" s="355" t="s">
        <v>2392</v>
      </c>
      <c r="C8" s="356" t="s">
        <v>2393</v>
      </c>
    </row>
    <row r="9" spans="1:3" x14ac:dyDescent="0.3">
      <c r="A9" s="346" t="s">
        <v>2391</v>
      </c>
      <c r="B9" s="352" t="s">
        <v>2394</v>
      </c>
      <c r="C9" s="51" t="s">
        <v>2395</v>
      </c>
    </row>
    <row r="10" spans="1:3" x14ac:dyDescent="0.3">
      <c r="A10" s="357" t="s">
        <v>2391</v>
      </c>
      <c r="B10" s="358" t="s">
        <v>2396</v>
      </c>
      <c r="C10" s="359" t="s">
        <v>2397</v>
      </c>
    </row>
    <row r="11" spans="1:3" x14ac:dyDescent="0.3">
      <c r="A11" s="354" t="s">
        <v>2398</v>
      </c>
      <c r="B11" s="355">
        <v>1610</v>
      </c>
      <c r="C11" s="356" t="s">
        <v>2399</v>
      </c>
    </row>
    <row r="12" spans="1:3" x14ac:dyDescent="0.3">
      <c r="A12" s="346" t="s">
        <v>2398</v>
      </c>
      <c r="B12" s="352">
        <v>1620</v>
      </c>
      <c r="C12" s="51" t="s">
        <v>2400</v>
      </c>
    </row>
    <row r="13" spans="1:3" x14ac:dyDescent="0.3">
      <c r="A13" s="346" t="s">
        <v>2398</v>
      </c>
      <c r="B13" s="352">
        <v>1630</v>
      </c>
      <c r="C13" s="51" t="s">
        <v>2401</v>
      </c>
    </row>
    <row r="14" spans="1:3" x14ac:dyDescent="0.3">
      <c r="A14" s="346" t="s">
        <v>2398</v>
      </c>
      <c r="B14" s="352">
        <v>1640</v>
      </c>
      <c r="C14" s="51" t="s">
        <v>2402</v>
      </c>
    </row>
    <row r="15" spans="1:3" x14ac:dyDescent="0.3">
      <c r="A15" s="357" t="s">
        <v>2398</v>
      </c>
      <c r="B15" s="358">
        <v>1660</v>
      </c>
      <c r="C15" s="359" t="s">
        <v>2403</v>
      </c>
    </row>
    <row r="16" spans="1:3" x14ac:dyDescent="0.3">
      <c r="A16" s="354" t="s">
        <v>2404</v>
      </c>
      <c r="B16" s="355">
        <v>2811</v>
      </c>
      <c r="C16" s="356" t="s">
        <v>2405</v>
      </c>
    </row>
    <row r="17" spans="1:3" x14ac:dyDescent="0.3">
      <c r="A17" s="346" t="s">
        <v>2404</v>
      </c>
      <c r="B17" s="352">
        <v>2821</v>
      </c>
      <c r="C17" s="51" t="s">
        <v>2406</v>
      </c>
    </row>
    <row r="18" spans="1:3" x14ac:dyDescent="0.3">
      <c r="A18" s="357" t="s">
        <v>2404</v>
      </c>
      <c r="B18" s="358">
        <v>2831</v>
      </c>
      <c r="C18" s="359" t="s">
        <v>2407</v>
      </c>
    </row>
    <row r="19" spans="1:3" x14ac:dyDescent="0.3">
      <c r="A19" s="346" t="s">
        <v>2408</v>
      </c>
      <c r="B19" s="352">
        <v>2912</v>
      </c>
      <c r="C19" s="51" t="s">
        <v>2409</v>
      </c>
    </row>
    <row r="20" spans="1:3" x14ac:dyDescent="0.3">
      <c r="A20" s="346" t="s">
        <v>2408</v>
      </c>
      <c r="B20" s="352">
        <v>2913</v>
      </c>
      <c r="C20" s="51" t="s">
        <v>2410</v>
      </c>
    </row>
    <row r="21" spans="1:3" x14ac:dyDescent="0.3">
      <c r="A21" s="346" t="s">
        <v>2408</v>
      </c>
      <c r="B21" s="352">
        <v>2922</v>
      </c>
      <c r="C21" s="51" t="s">
        <v>2411</v>
      </c>
    </row>
    <row r="22" spans="1:3" x14ac:dyDescent="0.3">
      <c r="A22" s="346" t="s">
        <v>2408</v>
      </c>
      <c r="B22" s="352">
        <v>2923</v>
      </c>
      <c r="C22" s="51" t="s">
        <v>2412</v>
      </c>
    </row>
    <row r="23" spans="1:3" x14ac:dyDescent="0.3">
      <c r="A23" s="346" t="s">
        <v>2408</v>
      </c>
      <c r="B23" s="352">
        <v>2932</v>
      </c>
      <c r="C23" s="51" t="s">
        <v>2413</v>
      </c>
    </row>
    <row r="24" spans="1:3" x14ac:dyDescent="0.3">
      <c r="A24" s="357" t="s">
        <v>2408</v>
      </c>
      <c r="B24" s="358">
        <v>2933</v>
      </c>
      <c r="C24" s="359" t="s">
        <v>2414</v>
      </c>
    </row>
    <row r="25" spans="1:3" x14ac:dyDescent="0.3">
      <c r="A25" s="346" t="s">
        <v>2415</v>
      </c>
      <c r="B25" s="352">
        <v>3511</v>
      </c>
      <c r="C25" s="51" t="s">
        <v>2416</v>
      </c>
    </row>
    <row r="26" spans="1:3" x14ac:dyDescent="0.3">
      <c r="A26" s="346" t="s">
        <v>2415</v>
      </c>
      <c r="B26" s="352">
        <v>3512</v>
      </c>
      <c r="C26" s="51" t="s">
        <v>2417</v>
      </c>
    </row>
    <row r="27" spans="1:3" x14ac:dyDescent="0.3">
      <c r="A27" s="346" t="s">
        <v>2415</v>
      </c>
      <c r="B27" s="352">
        <v>3513</v>
      </c>
      <c r="C27" s="51" t="s">
        <v>2418</v>
      </c>
    </row>
    <row r="28" spans="1:3" x14ac:dyDescent="0.3">
      <c r="A28" s="346" t="s">
        <v>2415</v>
      </c>
      <c r="B28" s="352">
        <v>3520</v>
      </c>
      <c r="C28" s="51" t="s">
        <v>2419</v>
      </c>
    </row>
    <row r="29" spans="1:3" x14ac:dyDescent="0.3">
      <c r="A29" s="346" t="s">
        <v>2415</v>
      </c>
      <c r="B29" s="352">
        <v>3530</v>
      </c>
      <c r="C29" s="51" t="s">
        <v>2420</v>
      </c>
    </row>
    <row r="30" spans="1:3" x14ac:dyDescent="0.3">
      <c r="A30" s="357" t="s">
        <v>2415</v>
      </c>
      <c r="B30" s="358">
        <v>3540</v>
      </c>
      <c r="C30" s="359" t="s">
        <v>2421</v>
      </c>
    </row>
    <row r="31" spans="1:3" x14ac:dyDescent="0.3">
      <c r="A31" s="346" t="s">
        <v>2422</v>
      </c>
      <c r="B31" s="352">
        <v>3610</v>
      </c>
      <c r="C31" s="51" t="s">
        <v>2423</v>
      </c>
    </row>
    <row r="32" spans="1:3" x14ac:dyDescent="0.3">
      <c r="A32" s="346" t="s">
        <v>2422</v>
      </c>
      <c r="B32" s="352">
        <v>3620</v>
      </c>
      <c r="C32" s="51" t="s">
        <v>2424</v>
      </c>
    </row>
    <row r="33" spans="1:3" x14ac:dyDescent="0.3">
      <c r="A33" s="346" t="s">
        <v>2422</v>
      </c>
      <c r="B33" s="352">
        <v>3630</v>
      </c>
      <c r="C33" s="51" t="s">
        <v>2425</v>
      </c>
    </row>
    <row r="34" spans="1:3" x14ac:dyDescent="0.3">
      <c r="A34" s="346" t="s">
        <v>2422</v>
      </c>
      <c r="B34" s="352">
        <v>3640</v>
      </c>
      <c r="C34" s="51" t="s">
        <v>2426</v>
      </c>
    </row>
    <row r="35" spans="1:3" x14ac:dyDescent="0.3">
      <c r="A35" s="346" t="s">
        <v>2422</v>
      </c>
      <c r="B35" s="352">
        <v>3650</v>
      </c>
      <c r="C35" s="51" t="s">
        <v>2427</v>
      </c>
    </row>
    <row r="36" spans="1:3" x14ac:dyDescent="0.3">
      <c r="A36" s="346" t="s">
        <v>2422</v>
      </c>
      <c r="B36" s="352">
        <v>3700</v>
      </c>
      <c r="C36" s="51" t="s">
        <v>2428</v>
      </c>
    </row>
    <row r="37" spans="1:3" x14ac:dyDescent="0.3">
      <c r="A37" s="357" t="s">
        <v>2422</v>
      </c>
      <c r="B37" s="358">
        <v>3800</v>
      </c>
      <c r="C37" s="359" t="s">
        <v>2429</v>
      </c>
    </row>
    <row r="38" spans="1:3" x14ac:dyDescent="0.3">
      <c r="A38" s="357" t="s">
        <v>2430</v>
      </c>
      <c r="B38" s="358">
        <v>4500</v>
      </c>
      <c r="C38" s="359" t="s">
        <v>2430</v>
      </c>
    </row>
    <row r="39" spans="1:3" x14ac:dyDescent="0.3">
      <c r="A39" s="357" t="s">
        <v>2431</v>
      </c>
      <c r="B39" s="358">
        <v>4600</v>
      </c>
      <c r="C39" s="359" t="s">
        <v>2431</v>
      </c>
    </row>
    <row r="40" spans="1:3" x14ac:dyDescent="0.3">
      <c r="A40" s="357" t="s">
        <v>2432</v>
      </c>
      <c r="B40" s="358">
        <v>4700</v>
      </c>
      <c r="C40" s="359" t="s">
        <v>2432</v>
      </c>
    </row>
    <row r="41" spans="1:3" x14ac:dyDescent="0.3">
      <c r="A41" s="346" t="s">
        <v>2433</v>
      </c>
      <c r="B41" s="352">
        <v>4810</v>
      </c>
      <c r="C41" s="51" t="s">
        <v>426</v>
      </c>
    </row>
    <row r="42" spans="1:3" x14ac:dyDescent="0.3">
      <c r="A42" s="346" t="s">
        <v>2433</v>
      </c>
      <c r="B42" s="352">
        <v>4820</v>
      </c>
      <c r="C42" s="51" t="s">
        <v>2434</v>
      </c>
    </row>
    <row r="43" spans="1:3" x14ac:dyDescent="0.3">
      <c r="A43" s="346" t="s">
        <v>2433</v>
      </c>
      <c r="B43" s="352">
        <v>4830</v>
      </c>
      <c r="C43" s="51" t="s">
        <v>428</v>
      </c>
    </row>
    <row r="44" spans="1:3" x14ac:dyDescent="0.3">
      <c r="A44" s="357" t="s">
        <v>2433</v>
      </c>
      <c r="B44" s="358">
        <v>4840</v>
      </c>
      <c r="C44" s="359" t="s">
        <v>2435</v>
      </c>
    </row>
    <row r="45" spans="1:3" x14ac:dyDescent="0.3">
      <c r="A45" s="346" t="s">
        <v>2436</v>
      </c>
      <c r="B45" s="352">
        <v>5110</v>
      </c>
      <c r="C45" s="51" t="s">
        <v>2437</v>
      </c>
    </row>
    <row r="46" spans="1:3" x14ac:dyDescent="0.3">
      <c r="A46" s="346" t="s">
        <v>2436</v>
      </c>
      <c r="B46" s="352">
        <v>5120</v>
      </c>
      <c r="C46" s="51" t="s">
        <v>2438</v>
      </c>
    </row>
    <row r="47" spans="1:3" x14ac:dyDescent="0.3">
      <c r="A47" s="346" t="s">
        <v>2436</v>
      </c>
      <c r="B47" s="352">
        <v>5130</v>
      </c>
      <c r="C47" s="51" t="s">
        <v>2439</v>
      </c>
    </row>
    <row r="48" spans="1:3" x14ac:dyDescent="0.3">
      <c r="A48" s="346" t="s">
        <v>2436</v>
      </c>
      <c r="B48" s="352">
        <v>5210</v>
      </c>
      <c r="C48" s="51" t="s">
        <v>2440</v>
      </c>
    </row>
    <row r="49" spans="1:3" x14ac:dyDescent="0.3">
      <c r="A49" s="346" t="s">
        <v>2436</v>
      </c>
      <c r="B49" s="352">
        <v>5220</v>
      </c>
      <c r="C49" s="51" t="s">
        <v>2441</v>
      </c>
    </row>
    <row r="50" spans="1:3" x14ac:dyDescent="0.3">
      <c r="A50" s="346" t="s">
        <v>2436</v>
      </c>
      <c r="B50" s="352">
        <v>5230</v>
      </c>
      <c r="C50" s="51" t="s">
        <v>2442</v>
      </c>
    </row>
    <row r="51" spans="1:3" x14ac:dyDescent="0.3">
      <c r="A51" s="346" t="s">
        <v>2436</v>
      </c>
      <c r="B51" s="352">
        <v>5300</v>
      </c>
      <c r="C51" s="51" t="s">
        <v>2443</v>
      </c>
    </row>
    <row r="52" spans="1:3" x14ac:dyDescent="0.3">
      <c r="A52" s="346" t="s">
        <v>2436</v>
      </c>
      <c r="B52" s="352">
        <v>7410</v>
      </c>
      <c r="C52" s="51" t="s">
        <v>2444</v>
      </c>
    </row>
    <row r="53" spans="1:3" x14ac:dyDescent="0.3">
      <c r="A53" s="357" t="s">
        <v>2436</v>
      </c>
      <c r="B53" s="358">
        <v>7420</v>
      </c>
      <c r="C53" s="359" t="s">
        <v>2445</v>
      </c>
    </row>
    <row r="54" spans="1:3" x14ac:dyDescent="0.3">
      <c r="A54" s="346" t="s">
        <v>2446</v>
      </c>
      <c r="B54" s="352">
        <v>6110</v>
      </c>
      <c r="C54" s="51" t="s">
        <v>2447</v>
      </c>
    </row>
    <row r="55" spans="1:3" x14ac:dyDescent="0.3">
      <c r="A55" s="346" t="s">
        <v>2446</v>
      </c>
      <c r="B55" s="352">
        <v>6120</v>
      </c>
      <c r="C55" s="51" t="s">
        <v>2448</v>
      </c>
    </row>
    <row r="56" spans="1:3" x14ac:dyDescent="0.3">
      <c r="A56" s="346" t="s">
        <v>2446</v>
      </c>
      <c r="B56" s="352">
        <v>6130</v>
      </c>
      <c r="C56" s="51" t="s">
        <v>2449</v>
      </c>
    </row>
    <row r="57" spans="1:3" x14ac:dyDescent="0.3">
      <c r="A57" s="346" t="s">
        <v>2446</v>
      </c>
      <c r="B57" s="352">
        <v>6140</v>
      </c>
      <c r="C57" s="51" t="s">
        <v>2450</v>
      </c>
    </row>
    <row r="58" spans="1:3" x14ac:dyDescent="0.3">
      <c r="A58" s="346" t="s">
        <v>2446</v>
      </c>
      <c r="B58" s="352">
        <v>6150</v>
      </c>
      <c r="C58" s="51" t="s">
        <v>2451</v>
      </c>
    </row>
    <row r="59" spans="1:3" x14ac:dyDescent="0.3">
      <c r="A59" s="346" t="s">
        <v>2446</v>
      </c>
      <c r="B59" s="352">
        <v>6160</v>
      </c>
      <c r="C59" s="51" t="s">
        <v>2452</v>
      </c>
    </row>
    <row r="60" spans="1:3" x14ac:dyDescent="0.3">
      <c r="A60" s="346" t="s">
        <v>2446</v>
      </c>
      <c r="B60" s="352">
        <v>7310</v>
      </c>
      <c r="C60" s="51" t="s">
        <v>2453</v>
      </c>
    </row>
    <row r="61" spans="1:3" x14ac:dyDescent="0.3">
      <c r="A61" s="346" t="s">
        <v>2446</v>
      </c>
      <c r="B61" s="352">
        <v>7320</v>
      </c>
      <c r="C61" s="51" t="s">
        <v>2454</v>
      </c>
    </row>
    <row r="62" spans="1:3" x14ac:dyDescent="0.3">
      <c r="A62" s="346" t="s">
        <v>2446</v>
      </c>
      <c r="B62" s="352">
        <v>8310</v>
      </c>
      <c r="C62" s="51" t="s">
        <v>2455</v>
      </c>
    </row>
    <row r="63" spans="1:3" x14ac:dyDescent="0.3">
      <c r="A63" s="346" t="s">
        <v>2446</v>
      </c>
      <c r="B63" s="352">
        <v>8320</v>
      </c>
      <c r="C63" s="51" t="s">
        <v>430</v>
      </c>
    </row>
    <row r="64" spans="1:3" x14ac:dyDescent="0.3">
      <c r="A64" s="346" t="s">
        <v>2446</v>
      </c>
      <c r="B64" s="352">
        <v>8330</v>
      </c>
      <c r="C64" s="51" t="s">
        <v>431</v>
      </c>
    </row>
    <row r="65" spans="1:3" x14ac:dyDescent="0.3">
      <c r="A65" s="346" t="s">
        <v>2446</v>
      </c>
      <c r="B65" s="352">
        <v>8340</v>
      </c>
      <c r="C65" s="51" t="s">
        <v>432</v>
      </c>
    </row>
    <row r="66" spans="1:3" x14ac:dyDescent="0.3">
      <c r="A66" s="346" t="s">
        <v>2446</v>
      </c>
      <c r="B66" s="352">
        <v>8410</v>
      </c>
      <c r="C66" s="51" t="s">
        <v>2456</v>
      </c>
    </row>
    <row r="67" spans="1:3" x14ac:dyDescent="0.3">
      <c r="A67" s="346" t="s">
        <v>2446</v>
      </c>
      <c r="B67" s="352">
        <v>8420</v>
      </c>
      <c r="C67" s="51" t="s">
        <v>433</v>
      </c>
    </row>
    <row r="68" spans="1:3" x14ac:dyDescent="0.3">
      <c r="A68" s="346" t="s">
        <v>2446</v>
      </c>
      <c r="B68" s="352">
        <v>8430</v>
      </c>
      <c r="C68" s="51" t="s">
        <v>2457</v>
      </c>
    </row>
    <row r="69" spans="1:3" x14ac:dyDescent="0.3">
      <c r="A69" s="357" t="s">
        <v>2446</v>
      </c>
      <c r="B69" s="358">
        <v>8440</v>
      </c>
      <c r="C69" s="359" t="s">
        <v>2458</v>
      </c>
    </row>
    <row r="70" spans="1:3" ht="15" thickBot="1" x14ac:dyDescent="0.35">
      <c r="A70" s="347" t="s">
        <v>2459</v>
      </c>
      <c r="B70" s="353">
        <v>9000</v>
      </c>
      <c r="C70" s="50" t="s">
        <v>2459</v>
      </c>
    </row>
  </sheetData>
  <sheetProtection algorithmName="SHA-512" hashValue="wig/n72yKZ9pJ+qCOVe3Pd0qwLQSSBGgATTD1TW20CDA0LMcAx22kmn3d2mff0InYgKzKjG+CZhpnIB+aMNSkg==" saltValue="0fNiqhMEAQ+EHJvd6jy5aQ==" spinCount="100000" sheet="1" objects="1" scenarios="1"/>
  <mergeCells count="1">
    <mergeCell ref="A5:C5"/>
  </mergeCells>
  <hyperlinks>
    <hyperlink ref="A3" r:id="rId1" xr:uid="{00000000-0004-0000-0E00-000000000000}"/>
  </hyperlinks>
  <pageMargins left="0.7" right="0.7" top="0.75" bottom="0.75" header="0.3" footer="0.3"/>
  <pageSetup paperSize="9"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tabColor rgb="FFFF0000"/>
  </sheetPr>
  <dimension ref="B1:X43"/>
  <sheetViews>
    <sheetView topLeftCell="A3" zoomScaleNormal="100" workbookViewId="0">
      <selection activeCell="M33" sqref="M33"/>
    </sheetView>
  </sheetViews>
  <sheetFormatPr baseColWidth="10" defaultColWidth="9.109375" defaultRowHeight="14.4" x14ac:dyDescent="0.3"/>
  <cols>
    <col min="2" max="2" width="26.44140625" bestFit="1" customWidth="1"/>
    <col min="3" max="6" width="12" customWidth="1"/>
    <col min="8" max="8" width="26.44140625" bestFit="1" customWidth="1"/>
    <col min="9" max="12" width="12" customWidth="1"/>
    <col min="14" max="14" width="26.44140625" bestFit="1" customWidth="1"/>
    <col min="15" max="18" width="12" customWidth="1"/>
    <col min="20" max="20" width="26.44140625" bestFit="1" customWidth="1"/>
    <col min="21" max="24" width="12" customWidth="1"/>
  </cols>
  <sheetData>
    <row r="1" spans="2:24" ht="15" thickBot="1" x14ac:dyDescent="0.35"/>
    <row r="2" spans="2:24" ht="19.2" thickTop="1" thickBot="1" x14ac:dyDescent="0.4">
      <c r="B2" s="1067" t="s">
        <v>2539</v>
      </c>
      <c r="C2" s="1068"/>
      <c r="D2" s="1068"/>
      <c r="E2" s="1068"/>
      <c r="F2" s="1068"/>
      <c r="G2" s="1068"/>
      <c r="H2" s="1068"/>
      <c r="I2" s="1068"/>
      <c r="J2" s="1068"/>
      <c r="K2" s="1068"/>
      <c r="L2" s="1069"/>
      <c r="N2" s="1070" t="s">
        <v>2540</v>
      </c>
      <c r="O2" s="1071"/>
      <c r="P2" s="1071"/>
      <c r="Q2" s="1071"/>
      <c r="R2" s="1071"/>
      <c r="S2" s="1071"/>
      <c r="T2" s="1071"/>
      <c r="U2" s="1071"/>
      <c r="V2" s="1071"/>
      <c r="W2" s="1071"/>
      <c r="X2" s="1072"/>
    </row>
    <row r="3" spans="2:24" x14ac:dyDescent="0.3">
      <c r="B3" s="1061" t="s">
        <v>630</v>
      </c>
      <c r="C3" s="1062"/>
      <c r="D3" s="1062"/>
      <c r="E3" s="1062"/>
      <c r="F3" s="1063"/>
      <c r="H3" s="1064" t="s">
        <v>631</v>
      </c>
      <c r="I3" s="1065"/>
      <c r="J3" s="1065"/>
      <c r="K3" s="1065"/>
      <c r="L3" s="1066"/>
      <c r="N3" s="1073" t="s">
        <v>630</v>
      </c>
      <c r="O3" s="1074"/>
      <c r="P3" s="1074"/>
      <c r="Q3" s="1074"/>
      <c r="R3" s="1075"/>
      <c r="S3" s="65"/>
      <c r="T3" s="1076" t="s">
        <v>631</v>
      </c>
      <c r="U3" s="1077"/>
      <c r="V3" s="1077"/>
      <c r="W3" s="1077"/>
      <c r="X3" s="1078"/>
    </row>
    <row r="4" spans="2:24" ht="43.2" x14ac:dyDescent="0.3">
      <c r="B4" s="203" t="s">
        <v>281</v>
      </c>
      <c r="C4" s="204" t="s">
        <v>282</v>
      </c>
      <c r="D4" s="204" t="s">
        <v>637</v>
      </c>
      <c r="E4" s="204" t="s">
        <v>283</v>
      </c>
      <c r="F4" s="205" t="s">
        <v>638</v>
      </c>
      <c r="H4" s="206" t="s">
        <v>281</v>
      </c>
      <c r="I4" s="207" t="s">
        <v>282</v>
      </c>
      <c r="J4" s="207" t="s">
        <v>637</v>
      </c>
      <c r="K4" s="207" t="s">
        <v>283</v>
      </c>
      <c r="L4" s="208" t="s">
        <v>638</v>
      </c>
      <c r="M4" s="36"/>
      <c r="N4" s="214" t="s">
        <v>281</v>
      </c>
      <c r="O4" s="215" t="s">
        <v>282</v>
      </c>
      <c r="P4" s="215" t="s">
        <v>637</v>
      </c>
      <c r="Q4" s="215" t="s">
        <v>283</v>
      </c>
      <c r="R4" s="216" t="s">
        <v>638</v>
      </c>
      <c r="S4" s="169"/>
      <c r="T4" s="217" t="s">
        <v>281</v>
      </c>
      <c r="U4" s="218" t="s">
        <v>282</v>
      </c>
      <c r="V4" s="218" t="s">
        <v>637</v>
      </c>
      <c r="W4" s="218" t="s">
        <v>283</v>
      </c>
      <c r="X4" s="219" t="s">
        <v>638</v>
      </c>
    </row>
    <row r="5" spans="2:24" x14ac:dyDescent="0.3">
      <c r="B5" s="195" t="s">
        <v>10</v>
      </c>
      <c r="C5" s="506">
        <v>1</v>
      </c>
      <c r="D5" s="506">
        <v>1.7</v>
      </c>
      <c r="E5" s="506">
        <v>0.26</v>
      </c>
      <c r="F5" s="507">
        <v>1.1499999999999999</v>
      </c>
      <c r="H5" s="82" t="s">
        <v>10</v>
      </c>
      <c r="I5" s="510">
        <v>1.66</v>
      </c>
      <c r="J5" s="510">
        <v>2.75</v>
      </c>
      <c r="K5" s="510">
        <v>10.61</v>
      </c>
      <c r="L5" s="511">
        <v>17.36</v>
      </c>
      <c r="N5" s="209" t="s">
        <v>10</v>
      </c>
      <c r="O5" s="196">
        <v>1</v>
      </c>
      <c r="P5" s="196">
        <v>1.67</v>
      </c>
      <c r="Q5" s="196">
        <v>0.26</v>
      </c>
      <c r="R5" s="201">
        <v>1.28</v>
      </c>
      <c r="S5" s="65"/>
      <c r="T5" s="210" t="s">
        <v>10</v>
      </c>
      <c r="U5" s="196">
        <v>1</v>
      </c>
      <c r="V5" s="196">
        <v>1.67</v>
      </c>
      <c r="W5" s="196">
        <v>9.99</v>
      </c>
      <c r="X5" s="197">
        <v>16</v>
      </c>
    </row>
    <row r="6" spans="2:24" x14ac:dyDescent="0.3">
      <c r="B6" s="195" t="s">
        <v>11</v>
      </c>
      <c r="C6" s="506">
        <v>0.85</v>
      </c>
      <c r="D6" s="506">
        <v>1.72</v>
      </c>
      <c r="E6" s="506">
        <v>0.2</v>
      </c>
      <c r="F6" s="507">
        <v>1.25</v>
      </c>
      <c r="H6" s="82" t="s">
        <v>11</v>
      </c>
      <c r="I6" s="506">
        <v>1.29</v>
      </c>
      <c r="J6" s="506">
        <v>2.4300000000000002</v>
      </c>
      <c r="K6" s="506">
        <v>8.65</v>
      </c>
      <c r="L6" s="512">
        <v>15.04</v>
      </c>
      <c r="N6" s="209" t="s">
        <v>11</v>
      </c>
      <c r="O6" s="196">
        <v>0.89</v>
      </c>
      <c r="P6" s="196">
        <v>1.64</v>
      </c>
      <c r="Q6" s="196">
        <v>0.26</v>
      </c>
      <c r="R6" s="201">
        <v>1.3</v>
      </c>
      <c r="S6" s="65"/>
      <c r="T6" s="210" t="s">
        <v>11</v>
      </c>
      <c r="U6" s="196">
        <v>0.89</v>
      </c>
      <c r="V6" s="196">
        <v>1.64</v>
      </c>
      <c r="W6" s="196">
        <v>9.99</v>
      </c>
      <c r="X6" s="197">
        <v>16</v>
      </c>
    </row>
    <row r="7" spans="2:24" x14ac:dyDescent="0.3">
      <c r="B7" s="195" t="s">
        <v>12</v>
      </c>
      <c r="C7" s="506">
        <v>0.83</v>
      </c>
      <c r="D7" s="506">
        <v>1.79</v>
      </c>
      <c r="E7" s="506">
        <v>0.28000000000000003</v>
      </c>
      <c r="F7" s="507">
        <v>1.28</v>
      </c>
      <c r="H7" s="82" t="s">
        <v>12</v>
      </c>
      <c r="I7" s="506">
        <v>1.66</v>
      </c>
      <c r="J7" s="506">
        <v>2.75</v>
      </c>
      <c r="K7" s="506">
        <v>10.61</v>
      </c>
      <c r="L7" s="512">
        <v>17.36</v>
      </c>
      <c r="N7" s="209" t="s">
        <v>12</v>
      </c>
      <c r="O7" s="196">
        <v>0.8</v>
      </c>
      <c r="P7" s="196">
        <v>1.81</v>
      </c>
      <c r="Q7" s="196">
        <v>0.27</v>
      </c>
      <c r="R7" s="201">
        <v>1.1599999999999999</v>
      </c>
      <c r="S7" s="65"/>
      <c r="T7" s="210" t="s">
        <v>12</v>
      </c>
      <c r="U7" s="196">
        <v>0.8</v>
      </c>
      <c r="V7" s="196">
        <v>1.81</v>
      </c>
      <c r="W7" s="196">
        <v>9.99</v>
      </c>
      <c r="X7" s="197">
        <v>16</v>
      </c>
    </row>
    <row r="8" spans="2:24" x14ac:dyDescent="0.3">
      <c r="B8" s="195" t="s">
        <v>13</v>
      </c>
      <c r="C8" s="506">
        <v>1.07</v>
      </c>
      <c r="D8" s="506">
        <v>1.99</v>
      </c>
      <c r="E8" s="506">
        <v>0.88</v>
      </c>
      <c r="F8" s="507">
        <v>1.99</v>
      </c>
      <c r="H8" s="82" t="s">
        <v>13</v>
      </c>
      <c r="I8" s="506">
        <v>1.66</v>
      </c>
      <c r="J8" s="506">
        <v>2.75</v>
      </c>
      <c r="K8" s="506">
        <v>10.61</v>
      </c>
      <c r="L8" s="512">
        <v>17.36</v>
      </c>
      <c r="N8" s="209" t="s">
        <v>13</v>
      </c>
      <c r="O8" s="196">
        <v>1.03</v>
      </c>
      <c r="P8" s="196">
        <v>1.9</v>
      </c>
      <c r="Q8" s="196">
        <v>0.92</v>
      </c>
      <c r="R8" s="201">
        <v>1.98</v>
      </c>
      <c r="S8" s="65"/>
      <c r="T8" s="210" t="s">
        <v>13</v>
      </c>
      <c r="U8" s="196">
        <v>1.03</v>
      </c>
      <c r="V8" s="196">
        <v>1.9</v>
      </c>
      <c r="W8" s="196">
        <v>8.52</v>
      </c>
      <c r="X8" s="197">
        <v>13.43</v>
      </c>
    </row>
    <row r="9" spans="2:24" x14ac:dyDescent="0.3">
      <c r="B9" s="195" t="s">
        <v>14</v>
      </c>
      <c r="C9" s="506">
        <v>1.02</v>
      </c>
      <c r="D9" s="506">
        <v>1.92</v>
      </c>
      <c r="E9" s="506">
        <v>0.94</v>
      </c>
      <c r="F9" s="507">
        <v>2.48</v>
      </c>
      <c r="H9" s="82" t="s">
        <v>14</v>
      </c>
      <c r="I9" s="506">
        <v>1.66</v>
      </c>
      <c r="J9" s="506">
        <v>2.75</v>
      </c>
      <c r="K9" s="506">
        <v>10.61</v>
      </c>
      <c r="L9" s="512">
        <v>17.36</v>
      </c>
      <c r="N9" s="209" t="s">
        <v>14</v>
      </c>
      <c r="O9" s="196">
        <v>1</v>
      </c>
      <c r="P9" s="196">
        <v>1.93</v>
      </c>
      <c r="Q9" s="196">
        <v>1.1200000000000001</v>
      </c>
      <c r="R9" s="201">
        <v>2.67</v>
      </c>
      <c r="S9" s="65"/>
      <c r="T9" s="210" t="s">
        <v>14</v>
      </c>
      <c r="U9" s="196">
        <v>1</v>
      </c>
      <c r="V9" s="196">
        <v>1.93</v>
      </c>
      <c r="W9" s="196">
        <v>9.99</v>
      </c>
      <c r="X9" s="197">
        <v>16</v>
      </c>
    </row>
    <row r="10" spans="2:24" x14ac:dyDescent="0.3">
      <c r="B10" s="195" t="s">
        <v>15</v>
      </c>
      <c r="C10" s="506">
        <v>0.97</v>
      </c>
      <c r="D10" s="506">
        <v>1.91</v>
      </c>
      <c r="E10" s="506">
        <v>0.49</v>
      </c>
      <c r="F10" s="507">
        <v>1.1000000000000001</v>
      </c>
      <c r="H10" s="82" t="s">
        <v>15</v>
      </c>
      <c r="I10" s="506">
        <v>1.68</v>
      </c>
      <c r="J10" s="506">
        <v>3.13</v>
      </c>
      <c r="K10" s="506">
        <v>7.68</v>
      </c>
      <c r="L10" s="512">
        <v>15.19</v>
      </c>
      <c r="N10" s="209" t="s">
        <v>15</v>
      </c>
      <c r="O10" s="196">
        <v>0.91</v>
      </c>
      <c r="P10" s="196">
        <v>1.74</v>
      </c>
      <c r="Q10" s="196">
        <v>0.61</v>
      </c>
      <c r="R10" s="201">
        <v>1.31</v>
      </c>
      <c r="S10" s="65"/>
      <c r="T10" s="210" t="s">
        <v>15</v>
      </c>
      <c r="U10" s="196">
        <v>0.91</v>
      </c>
      <c r="V10" s="196">
        <v>1.74</v>
      </c>
      <c r="W10" s="196">
        <v>7.13</v>
      </c>
      <c r="X10" s="197">
        <v>15.18</v>
      </c>
    </row>
    <row r="11" spans="2:24" x14ac:dyDescent="0.3">
      <c r="B11" s="195" t="s">
        <v>16</v>
      </c>
      <c r="C11" s="506">
        <v>1.26</v>
      </c>
      <c r="D11" s="506">
        <v>2.34</v>
      </c>
      <c r="E11" s="506">
        <v>1.1499999999999999</v>
      </c>
      <c r="F11" s="507">
        <v>2.75</v>
      </c>
      <c r="H11" s="82" t="s">
        <v>16</v>
      </c>
      <c r="I11" s="506">
        <v>1.59</v>
      </c>
      <c r="J11" s="506">
        <v>2.33</v>
      </c>
      <c r="K11" s="506">
        <v>7.62</v>
      </c>
      <c r="L11" s="512">
        <v>11.91</v>
      </c>
      <c r="N11" s="209" t="s">
        <v>16</v>
      </c>
      <c r="O11" s="196">
        <v>1.1399999999999999</v>
      </c>
      <c r="P11" s="196">
        <v>2.11</v>
      </c>
      <c r="Q11" s="196">
        <v>1.2</v>
      </c>
      <c r="R11" s="201">
        <v>2.7</v>
      </c>
      <c r="S11" s="65"/>
      <c r="T11" s="210" t="s">
        <v>16</v>
      </c>
      <c r="U11" s="196">
        <v>1.1399999999999999</v>
      </c>
      <c r="V11" s="196">
        <v>2.11</v>
      </c>
      <c r="W11" s="196">
        <v>7.17</v>
      </c>
      <c r="X11" s="197">
        <v>11.19</v>
      </c>
    </row>
    <row r="12" spans="2:24" x14ac:dyDescent="0.3">
      <c r="B12" s="195" t="s">
        <v>17</v>
      </c>
      <c r="C12" s="506">
        <v>1.04</v>
      </c>
      <c r="D12" s="506">
        <v>2.09</v>
      </c>
      <c r="E12" s="506">
        <v>1.35</v>
      </c>
      <c r="F12" s="507">
        <v>2.97</v>
      </c>
      <c r="H12" s="82" t="s">
        <v>17</v>
      </c>
      <c r="I12" s="506">
        <v>1.54</v>
      </c>
      <c r="J12" s="506">
        <v>2.58</v>
      </c>
      <c r="K12" s="506">
        <v>13.21</v>
      </c>
      <c r="L12" s="512">
        <v>19.29</v>
      </c>
      <c r="N12" s="209" t="s">
        <v>17</v>
      </c>
      <c r="O12" s="196">
        <v>0.98</v>
      </c>
      <c r="P12" s="196">
        <v>1.99</v>
      </c>
      <c r="Q12" s="196">
        <v>1.55</v>
      </c>
      <c r="R12" s="201">
        <v>3.15</v>
      </c>
      <c r="S12" s="65"/>
      <c r="T12" s="210" t="s">
        <v>17</v>
      </c>
      <c r="U12" s="196">
        <v>0.98</v>
      </c>
      <c r="V12" s="196">
        <v>1.99</v>
      </c>
      <c r="W12" s="196">
        <v>13.46</v>
      </c>
      <c r="X12" s="197">
        <v>19.190000000000001</v>
      </c>
    </row>
    <row r="13" spans="2:24" x14ac:dyDescent="0.3">
      <c r="B13" s="195" t="s">
        <v>18</v>
      </c>
      <c r="C13" s="506">
        <v>0.86</v>
      </c>
      <c r="D13" s="506">
        <v>1.89</v>
      </c>
      <c r="E13" s="506">
        <v>0.32</v>
      </c>
      <c r="F13" s="507">
        <v>1.46</v>
      </c>
      <c r="H13" s="82" t="s">
        <v>18</v>
      </c>
      <c r="I13" s="506">
        <v>1.66</v>
      </c>
      <c r="J13" s="506">
        <v>2.75</v>
      </c>
      <c r="K13" s="506">
        <v>10.61</v>
      </c>
      <c r="L13" s="512">
        <v>17.36</v>
      </c>
      <c r="N13" s="209" t="s">
        <v>18</v>
      </c>
      <c r="O13" s="196">
        <v>0.88</v>
      </c>
      <c r="P13" s="196">
        <v>1.81</v>
      </c>
      <c r="Q13" s="196">
        <v>0.39</v>
      </c>
      <c r="R13" s="201">
        <v>1.26</v>
      </c>
      <c r="S13" s="65"/>
      <c r="T13" s="210" t="s">
        <v>18</v>
      </c>
      <c r="U13" s="196">
        <v>0.88</v>
      </c>
      <c r="V13" s="196">
        <v>1.81</v>
      </c>
      <c r="W13" s="196">
        <v>9.99</v>
      </c>
      <c r="X13" s="197">
        <v>16</v>
      </c>
    </row>
    <row r="14" spans="2:24" x14ac:dyDescent="0.3">
      <c r="B14" s="195" t="s">
        <v>19</v>
      </c>
      <c r="C14" s="506">
        <v>0.96</v>
      </c>
      <c r="D14" s="506">
        <v>1.87</v>
      </c>
      <c r="E14" s="506">
        <v>0.8</v>
      </c>
      <c r="F14" s="507">
        <v>2.2200000000000002</v>
      </c>
      <c r="H14" s="82" t="s">
        <v>19</v>
      </c>
      <c r="I14" s="506">
        <v>1.66</v>
      </c>
      <c r="J14" s="506">
        <v>2.75</v>
      </c>
      <c r="K14" s="506">
        <v>10.61</v>
      </c>
      <c r="L14" s="512">
        <v>17.36</v>
      </c>
      <c r="N14" s="209" t="s">
        <v>19</v>
      </c>
      <c r="O14" s="196">
        <v>1.03</v>
      </c>
      <c r="P14" s="196">
        <v>1.85</v>
      </c>
      <c r="Q14" s="196">
        <v>1</v>
      </c>
      <c r="R14" s="201">
        <v>2.4700000000000002</v>
      </c>
      <c r="S14" s="65"/>
      <c r="T14" s="210" t="s">
        <v>19</v>
      </c>
      <c r="U14" s="196">
        <v>1.03</v>
      </c>
      <c r="V14" s="196">
        <v>1.85</v>
      </c>
      <c r="W14" s="196">
        <v>9.99</v>
      </c>
      <c r="X14" s="197">
        <v>16</v>
      </c>
    </row>
    <row r="15" spans="2:24" x14ac:dyDescent="0.3">
      <c r="B15" s="195" t="s">
        <v>20</v>
      </c>
      <c r="C15" s="506">
        <v>1.21</v>
      </c>
      <c r="D15" s="506">
        <v>2.33</v>
      </c>
      <c r="E15" s="506">
        <v>1.92</v>
      </c>
      <c r="F15" s="507">
        <v>3.49</v>
      </c>
      <c r="H15" s="82" t="s">
        <v>20</v>
      </c>
      <c r="I15" s="506">
        <v>1.92</v>
      </c>
      <c r="J15" s="506">
        <v>2.87</v>
      </c>
      <c r="K15" s="506">
        <v>10.43</v>
      </c>
      <c r="L15" s="512">
        <v>16.739999999999998</v>
      </c>
      <c r="N15" s="209" t="s">
        <v>20</v>
      </c>
      <c r="O15" s="196">
        <v>1.08</v>
      </c>
      <c r="P15" s="196">
        <v>2.11</v>
      </c>
      <c r="Q15" s="196">
        <v>2.12</v>
      </c>
      <c r="R15" s="201">
        <v>3.49</v>
      </c>
      <c r="S15" s="65"/>
      <c r="T15" s="210" t="s">
        <v>20</v>
      </c>
      <c r="U15" s="196">
        <v>1.08</v>
      </c>
      <c r="V15" s="196">
        <v>2.11</v>
      </c>
      <c r="W15" s="196">
        <v>9.4700000000000006</v>
      </c>
      <c r="X15" s="197">
        <v>14.81</v>
      </c>
    </row>
    <row r="16" spans="2:24" x14ac:dyDescent="0.3">
      <c r="B16" s="195" t="s">
        <v>21</v>
      </c>
      <c r="C16" s="506">
        <v>1.17</v>
      </c>
      <c r="D16" s="506">
        <v>2.34</v>
      </c>
      <c r="E16" s="506">
        <v>1.46</v>
      </c>
      <c r="F16" s="507">
        <v>3.09</v>
      </c>
      <c r="H16" s="82" t="s">
        <v>21</v>
      </c>
      <c r="I16" s="506">
        <v>1.4</v>
      </c>
      <c r="J16" s="506">
        <v>2.42</v>
      </c>
      <c r="K16" s="506">
        <v>7.74</v>
      </c>
      <c r="L16" s="512">
        <v>13.84</v>
      </c>
      <c r="N16" s="209" t="s">
        <v>21</v>
      </c>
      <c r="O16" s="196">
        <v>1.05</v>
      </c>
      <c r="P16" s="196">
        <v>2.2599999999999998</v>
      </c>
      <c r="Q16" s="196">
        <v>1.75</v>
      </c>
      <c r="R16" s="201">
        <v>3.45</v>
      </c>
      <c r="S16" s="65"/>
      <c r="T16" s="210" t="s">
        <v>21</v>
      </c>
      <c r="U16" s="196">
        <v>1.05</v>
      </c>
      <c r="V16" s="196">
        <v>2.2599999999999998</v>
      </c>
      <c r="W16" s="196">
        <v>8.51</v>
      </c>
      <c r="X16" s="197">
        <v>13.92</v>
      </c>
    </row>
    <row r="17" spans="2:24" x14ac:dyDescent="0.3">
      <c r="B17" s="195" t="s">
        <v>22</v>
      </c>
      <c r="C17" s="506">
        <v>0.45</v>
      </c>
      <c r="D17" s="506">
        <v>1.58</v>
      </c>
      <c r="E17" s="506">
        <v>0.25</v>
      </c>
      <c r="F17" s="507">
        <v>1.48</v>
      </c>
      <c r="H17" s="82" t="s">
        <v>22</v>
      </c>
      <c r="I17" s="506">
        <v>1.66</v>
      </c>
      <c r="J17" s="506">
        <v>2.75</v>
      </c>
      <c r="K17" s="506">
        <v>10.61</v>
      </c>
      <c r="L17" s="512">
        <v>17.36</v>
      </c>
      <c r="N17" s="209" t="s">
        <v>22</v>
      </c>
      <c r="O17" s="196">
        <v>0.37</v>
      </c>
      <c r="P17" s="196">
        <v>1.51</v>
      </c>
      <c r="Q17" s="196">
        <v>0.32</v>
      </c>
      <c r="R17" s="201">
        <v>1.59</v>
      </c>
      <c r="S17" s="65"/>
      <c r="T17" s="210" t="s">
        <v>22</v>
      </c>
      <c r="U17" s="196">
        <v>0.37</v>
      </c>
      <c r="V17" s="196">
        <v>1.51</v>
      </c>
      <c r="W17" s="196">
        <v>9.99</v>
      </c>
      <c r="X17" s="197">
        <v>16</v>
      </c>
    </row>
    <row r="18" spans="2:24" x14ac:dyDescent="0.3">
      <c r="B18" s="195" t="s">
        <v>23</v>
      </c>
      <c r="C18" s="506">
        <v>0.73</v>
      </c>
      <c r="D18" s="506">
        <v>1.6</v>
      </c>
      <c r="E18" s="506">
        <v>0.39</v>
      </c>
      <c r="F18" s="507">
        <v>1.36</v>
      </c>
      <c r="H18" s="82" t="s">
        <v>23</v>
      </c>
      <c r="I18" s="506">
        <v>1.66</v>
      </c>
      <c r="J18" s="506">
        <v>2.75</v>
      </c>
      <c r="K18" s="506">
        <v>10.61</v>
      </c>
      <c r="L18" s="512">
        <v>17.36</v>
      </c>
      <c r="N18" s="209" t="s">
        <v>23</v>
      </c>
      <c r="O18" s="196">
        <v>0.74</v>
      </c>
      <c r="P18" s="196">
        <v>1.53</v>
      </c>
      <c r="Q18" s="196">
        <v>0.4</v>
      </c>
      <c r="R18" s="201">
        <v>1.33</v>
      </c>
      <c r="S18" s="65"/>
      <c r="T18" s="210" t="s">
        <v>23</v>
      </c>
      <c r="U18" s="196">
        <v>0.74</v>
      </c>
      <c r="V18" s="196">
        <v>1.53</v>
      </c>
      <c r="W18" s="196">
        <v>9.99</v>
      </c>
      <c r="X18" s="197">
        <v>16</v>
      </c>
    </row>
    <row r="19" spans="2:24" x14ac:dyDescent="0.3">
      <c r="B19" s="195" t="s">
        <v>24</v>
      </c>
      <c r="C19" s="506">
        <v>1.08</v>
      </c>
      <c r="D19" s="506">
        <v>2.02</v>
      </c>
      <c r="E19" s="506">
        <v>0.66</v>
      </c>
      <c r="F19" s="507">
        <v>1.97</v>
      </c>
      <c r="H19" s="82" t="s">
        <v>24</v>
      </c>
      <c r="I19" s="506">
        <v>1.66</v>
      </c>
      <c r="J19" s="506">
        <v>2.75</v>
      </c>
      <c r="K19" s="506">
        <v>10.61</v>
      </c>
      <c r="L19" s="512">
        <v>17.36</v>
      </c>
      <c r="N19" s="209" t="s">
        <v>24</v>
      </c>
      <c r="O19" s="196">
        <v>1.04</v>
      </c>
      <c r="P19" s="196">
        <v>1.95</v>
      </c>
      <c r="Q19" s="196">
        <v>0.79</v>
      </c>
      <c r="R19" s="201">
        <v>2.16</v>
      </c>
      <c r="S19" s="65"/>
      <c r="T19" s="210" t="s">
        <v>24</v>
      </c>
      <c r="U19" s="196">
        <v>1.04</v>
      </c>
      <c r="V19" s="196">
        <v>1.95</v>
      </c>
      <c r="W19" s="196">
        <v>9.99</v>
      </c>
      <c r="X19" s="197">
        <v>16</v>
      </c>
    </row>
    <row r="20" spans="2:24" x14ac:dyDescent="0.3">
      <c r="B20" s="195" t="s">
        <v>25</v>
      </c>
      <c r="C20" s="506">
        <v>0.63</v>
      </c>
      <c r="D20" s="506">
        <v>1.61</v>
      </c>
      <c r="E20" s="506">
        <v>0.26</v>
      </c>
      <c r="F20" s="507">
        <v>1.3</v>
      </c>
      <c r="H20" s="82" t="s">
        <v>25</v>
      </c>
      <c r="I20" s="506">
        <v>1.66</v>
      </c>
      <c r="J20" s="506">
        <v>2.75</v>
      </c>
      <c r="K20" s="506">
        <v>10.61</v>
      </c>
      <c r="L20" s="512">
        <v>17.36</v>
      </c>
      <c r="N20" s="209" t="s">
        <v>25</v>
      </c>
      <c r="O20" s="196">
        <v>0.68</v>
      </c>
      <c r="P20" s="196">
        <v>1.58</v>
      </c>
      <c r="Q20" s="196">
        <v>0.3</v>
      </c>
      <c r="R20" s="201">
        <v>1.39</v>
      </c>
      <c r="S20" s="65"/>
      <c r="T20" s="210" t="s">
        <v>25</v>
      </c>
      <c r="U20" s="196">
        <v>0.68</v>
      </c>
      <c r="V20" s="196">
        <v>1.58</v>
      </c>
      <c r="W20" s="196">
        <v>9.99</v>
      </c>
      <c r="X20" s="197">
        <v>16</v>
      </c>
    </row>
    <row r="21" spans="2:24" x14ac:dyDescent="0.3">
      <c r="B21" s="195" t="s">
        <v>26</v>
      </c>
      <c r="C21" s="506">
        <v>1.2</v>
      </c>
      <c r="D21" s="506">
        <v>2.21</v>
      </c>
      <c r="E21" s="506">
        <v>1.5</v>
      </c>
      <c r="F21" s="507">
        <v>2.91</v>
      </c>
      <c r="H21" s="82" t="s">
        <v>26</v>
      </c>
      <c r="I21" s="506">
        <v>1.99</v>
      </c>
      <c r="J21" s="506">
        <v>3.01</v>
      </c>
      <c r="K21" s="506">
        <v>12.13</v>
      </c>
      <c r="L21" s="512">
        <v>18.28</v>
      </c>
      <c r="N21" s="209" t="s">
        <v>26</v>
      </c>
      <c r="O21" s="196">
        <v>1.1000000000000001</v>
      </c>
      <c r="P21" s="196">
        <v>1.95</v>
      </c>
      <c r="Q21" s="196">
        <v>2.38</v>
      </c>
      <c r="R21" s="201">
        <v>4.12</v>
      </c>
      <c r="S21" s="65"/>
      <c r="T21" s="210" t="s">
        <v>26</v>
      </c>
      <c r="U21" s="196">
        <v>1.1000000000000001</v>
      </c>
      <c r="V21" s="196">
        <v>1.95</v>
      </c>
      <c r="W21" s="196">
        <v>11.02</v>
      </c>
      <c r="X21" s="197">
        <v>16.100000000000001</v>
      </c>
    </row>
    <row r="22" spans="2:24" x14ac:dyDescent="0.3">
      <c r="B22" s="195" t="s">
        <v>27</v>
      </c>
      <c r="C22" s="506">
        <v>0.93</v>
      </c>
      <c r="D22" s="506">
        <v>1.95</v>
      </c>
      <c r="E22" s="506">
        <v>0.55000000000000004</v>
      </c>
      <c r="F22" s="507">
        <v>1.42</v>
      </c>
      <c r="H22" s="82" t="s">
        <v>27</v>
      </c>
      <c r="I22" s="506">
        <v>1.66</v>
      </c>
      <c r="J22" s="506">
        <v>2.75</v>
      </c>
      <c r="K22" s="506">
        <v>10.61</v>
      </c>
      <c r="L22" s="512">
        <v>17.36</v>
      </c>
      <c r="N22" s="209" t="s">
        <v>27</v>
      </c>
      <c r="O22" s="196">
        <v>0.92</v>
      </c>
      <c r="P22" s="196">
        <v>1.81</v>
      </c>
      <c r="Q22" s="196">
        <v>0.56999999999999995</v>
      </c>
      <c r="R22" s="201">
        <v>1.45</v>
      </c>
      <c r="S22" s="65"/>
      <c r="T22" s="210" t="s">
        <v>27</v>
      </c>
      <c r="U22" s="196">
        <v>0.92</v>
      </c>
      <c r="V22" s="196">
        <v>1.81</v>
      </c>
      <c r="W22" s="196">
        <v>9.99</v>
      </c>
      <c r="X22" s="197">
        <v>16</v>
      </c>
    </row>
    <row r="23" spans="2:24" x14ac:dyDescent="0.3">
      <c r="B23" s="195" t="s">
        <v>28</v>
      </c>
      <c r="C23" s="506">
        <v>1.29</v>
      </c>
      <c r="D23" s="506">
        <v>2.2999999999999998</v>
      </c>
      <c r="E23" s="506">
        <v>1.56</v>
      </c>
      <c r="F23" s="507">
        <v>2.94</v>
      </c>
      <c r="H23" s="82" t="s">
        <v>28</v>
      </c>
      <c r="I23" s="506">
        <v>1.56</v>
      </c>
      <c r="J23" s="506">
        <v>2.5299999999999998</v>
      </c>
      <c r="K23" s="506">
        <v>11.25</v>
      </c>
      <c r="L23" s="512">
        <v>18.079999999999998</v>
      </c>
      <c r="N23" s="209" t="s">
        <v>28</v>
      </c>
      <c r="O23" s="196">
        <v>1.18</v>
      </c>
      <c r="P23" s="196">
        <v>2.11</v>
      </c>
      <c r="Q23" s="196">
        <v>1.91</v>
      </c>
      <c r="R23" s="201">
        <v>3.39</v>
      </c>
      <c r="S23" s="65"/>
      <c r="T23" s="210" t="s">
        <v>28</v>
      </c>
      <c r="U23" s="196">
        <v>1.18</v>
      </c>
      <c r="V23" s="196">
        <v>2.11</v>
      </c>
      <c r="W23" s="196">
        <v>10.9</v>
      </c>
      <c r="X23" s="197">
        <v>17.03</v>
      </c>
    </row>
    <row r="24" spans="2:24" x14ac:dyDescent="0.3">
      <c r="B24" s="195" t="s">
        <v>29</v>
      </c>
      <c r="C24" s="506">
        <v>0.98</v>
      </c>
      <c r="D24" s="506">
        <v>2.0099999999999998</v>
      </c>
      <c r="E24" s="506">
        <v>0.67</v>
      </c>
      <c r="F24" s="507">
        <v>1.83</v>
      </c>
      <c r="H24" s="82" t="s">
        <v>29</v>
      </c>
      <c r="I24" s="506">
        <v>1.36</v>
      </c>
      <c r="J24" s="506">
        <v>2.3199999999999998</v>
      </c>
      <c r="K24" s="506">
        <v>7.63</v>
      </c>
      <c r="L24" s="512">
        <v>13.09</v>
      </c>
      <c r="N24" s="209" t="s">
        <v>29</v>
      </c>
      <c r="O24" s="196">
        <v>0.9</v>
      </c>
      <c r="P24" s="196">
        <v>1.89</v>
      </c>
      <c r="Q24" s="196">
        <v>0.61</v>
      </c>
      <c r="R24" s="201">
        <v>1.7</v>
      </c>
      <c r="S24" s="65"/>
      <c r="T24" s="210" t="s">
        <v>29</v>
      </c>
      <c r="U24" s="196">
        <v>0.9</v>
      </c>
      <c r="V24" s="196">
        <v>1.89</v>
      </c>
      <c r="W24" s="196">
        <v>9.99</v>
      </c>
      <c r="X24" s="197">
        <v>16</v>
      </c>
    </row>
    <row r="25" spans="2:24" x14ac:dyDescent="0.3">
      <c r="B25" s="195" t="s">
        <v>30</v>
      </c>
      <c r="C25" s="506">
        <v>0.52</v>
      </c>
      <c r="D25" s="506">
        <v>1.57</v>
      </c>
      <c r="E25" s="506">
        <v>0.35</v>
      </c>
      <c r="F25" s="507">
        <v>1.56</v>
      </c>
      <c r="H25" s="82" t="s">
        <v>30</v>
      </c>
      <c r="I25" s="506">
        <v>1.66</v>
      </c>
      <c r="J25" s="506">
        <v>2.75</v>
      </c>
      <c r="K25" s="506">
        <v>10.61</v>
      </c>
      <c r="L25" s="512">
        <v>17.36</v>
      </c>
      <c r="N25" s="209" t="s">
        <v>30</v>
      </c>
      <c r="O25" s="196">
        <v>0.47</v>
      </c>
      <c r="P25" s="196">
        <v>1.45</v>
      </c>
      <c r="Q25" s="196">
        <v>0.43</v>
      </c>
      <c r="R25" s="201">
        <v>1.46</v>
      </c>
      <c r="S25" s="65"/>
      <c r="T25" s="210" t="s">
        <v>30</v>
      </c>
      <c r="U25" s="196">
        <v>0.47</v>
      </c>
      <c r="V25" s="196">
        <v>1.45</v>
      </c>
      <c r="W25" s="196">
        <v>9.99</v>
      </c>
      <c r="X25" s="197">
        <v>16</v>
      </c>
    </row>
    <row r="26" spans="2:24" ht="15" thickBot="1" x14ac:dyDescent="0.35">
      <c r="B26" s="195" t="s">
        <v>31</v>
      </c>
      <c r="C26" s="506">
        <v>0.84</v>
      </c>
      <c r="D26" s="506">
        <v>1.74</v>
      </c>
      <c r="E26" s="506">
        <v>0.1</v>
      </c>
      <c r="F26" s="507">
        <v>1.1299999999999999</v>
      </c>
      <c r="G26" s="555"/>
      <c r="H26" s="82" t="s">
        <v>31</v>
      </c>
      <c r="I26" s="506">
        <v>1.66</v>
      </c>
      <c r="J26" s="506">
        <v>2.75</v>
      </c>
      <c r="K26" s="506">
        <v>10.61</v>
      </c>
      <c r="L26" s="512">
        <v>17.36</v>
      </c>
      <c r="N26" s="211" t="s">
        <v>31</v>
      </c>
      <c r="O26" s="199">
        <v>0.86</v>
      </c>
      <c r="P26" s="199">
        <v>1.74</v>
      </c>
      <c r="Q26" s="199">
        <v>0.18</v>
      </c>
      <c r="R26" s="202">
        <v>1.18</v>
      </c>
      <c r="S26" s="212"/>
      <c r="T26" s="213" t="s">
        <v>31</v>
      </c>
      <c r="U26" s="199">
        <v>0.86</v>
      </c>
      <c r="V26" s="199">
        <v>1.74</v>
      </c>
      <c r="W26" s="199">
        <v>9.99</v>
      </c>
      <c r="X26" s="200">
        <v>16</v>
      </c>
    </row>
    <row r="27" spans="2:24" ht="15" thickTop="1" x14ac:dyDescent="0.3">
      <c r="B27" s="195" t="s">
        <v>284</v>
      </c>
      <c r="C27" s="506">
        <v>1.2</v>
      </c>
      <c r="D27" s="506">
        <v>2.2999999999999998</v>
      </c>
      <c r="E27" s="506">
        <v>0</v>
      </c>
      <c r="F27" s="507">
        <v>0</v>
      </c>
      <c r="H27" s="82" t="s">
        <v>284</v>
      </c>
      <c r="I27" s="506"/>
      <c r="J27" s="506"/>
      <c r="K27" s="506"/>
      <c r="L27" s="512"/>
      <c r="N27" s="553"/>
      <c r="O27" s="554"/>
      <c r="P27" s="554"/>
      <c r="Q27" s="554"/>
      <c r="R27" s="554"/>
      <c r="S27" s="553"/>
      <c r="T27" s="553"/>
      <c r="U27" s="554"/>
      <c r="V27" s="554"/>
      <c r="W27" s="554"/>
      <c r="X27" s="554"/>
    </row>
    <row r="28" spans="2:24" x14ac:dyDescent="0.3">
      <c r="B28" s="195" t="s">
        <v>835</v>
      </c>
      <c r="C28" s="506">
        <v>1.8</v>
      </c>
      <c r="D28" s="506">
        <v>3.8</v>
      </c>
      <c r="E28" s="506">
        <v>0</v>
      </c>
      <c r="F28" s="507">
        <v>0.7</v>
      </c>
      <c r="H28" s="82" t="s">
        <v>835</v>
      </c>
      <c r="I28" s="506"/>
      <c r="J28" s="506"/>
      <c r="K28" s="506"/>
      <c r="L28" s="512"/>
      <c r="N28" s="553"/>
      <c r="O28" s="554"/>
      <c r="P28" s="554"/>
      <c r="Q28" s="554"/>
      <c r="R28" s="554"/>
      <c r="S28" s="553"/>
      <c r="T28" s="553"/>
      <c r="U28" s="554"/>
      <c r="V28" s="554"/>
      <c r="W28" s="554"/>
      <c r="X28" s="554"/>
    </row>
    <row r="29" spans="2:24" ht="15" thickBot="1" x14ac:dyDescent="0.35">
      <c r="B29" s="198" t="s">
        <v>286</v>
      </c>
      <c r="C29" s="508">
        <v>1.1000000000000001</v>
      </c>
      <c r="D29" s="508">
        <v>2.8</v>
      </c>
      <c r="E29" s="508">
        <v>0</v>
      </c>
      <c r="F29" s="509">
        <v>0</v>
      </c>
      <c r="G29" s="82"/>
      <c r="H29" s="198" t="s">
        <v>286</v>
      </c>
      <c r="I29" s="508"/>
      <c r="J29" s="508"/>
      <c r="K29" s="508"/>
      <c r="L29" s="509"/>
      <c r="N29" s="553"/>
      <c r="O29" s="554"/>
      <c r="P29" s="554"/>
      <c r="Q29" s="554"/>
      <c r="R29" s="554"/>
      <c r="S29" s="553"/>
      <c r="T29" s="553"/>
      <c r="U29" s="554"/>
      <c r="V29" s="554"/>
      <c r="W29" s="554"/>
      <c r="X29" s="554"/>
    </row>
    <row r="30" spans="2:24" ht="15" thickTop="1" x14ac:dyDescent="0.3"/>
    <row r="31" spans="2:24" ht="15" customHeight="1" x14ac:dyDescent="0.3">
      <c r="B31" s="1051" t="s">
        <v>3130</v>
      </c>
      <c r="C31" s="1051"/>
      <c r="D31" s="1051"/>
      <c r="E31" s="1051"/>
      <c r="F31" s="1051"/>
      <c r="G31" s="1051"/>
      <c r="H31" s="1051"/>
      <c r="I31" s="1051"/>
      <c r="J31" s="1051"/>
      <c r="K31" s="1051"/>
      <c r="L31" s="1051"/>
      <c r="N31" s="1051" t="s">
        <v>738</v>
      </c>
      <c r="O31" s="1051"/>
      <c r="P31" s="1051"/>
      <c r="Q31" s="1051"/>
      <c r="R31" s="1051"/>
      <c r="S31" s="1051"/>
      <c r="T31" s="1051"/>
      <c r="U31" s="1051"/>
      <c r="V31" s="1051"/>
      <c r="W31" s="1051"/>
      <c r="X31" s="1051"/>
    </row>
    <row r="32" spans="2:24" x14ac:dyDescent="0.3">
      <c r="B32" s="1051"/>
      <c r="C32" s="1051"/>
      <c r="D32" s="1051"/>
      <c r="E32" s="1051"/>
      <c r="F32" s="1051"/>
      <c r="G32" s="1051"/>
      <c r="H32" s="1051"/>
      <c r="I32" s="1051"/>
      <c r="J32" s="1051"/>
      <c r="K32" s="1051"/>
      <c r="L32" s="1051"/>
      <c r="N32" s="1051"/>
      <c r="O32" s="1051"/>
      <c r="P32" s="1051"/>
      <c r="Q32" s="1051"/>
      <c r="R32" s="1051"/>
      <c r="S32" s="1051"/>
      <c r="T32" s="1051"/>
      <c r="U32" s="1051"/>
      <c r="V32" s="1051"/>
      <c r="W32" s="1051"/>
      <c r="X32" s="1051"/>
    </row>
    <row r="33" spans="2:24" ht="15" customHeight="1" x14ac:dyDescent="0.3">
      <c r="B33" s="1051" t="s">
        <v>3131</v>
      </c>
      <c r="C33" s="1051"/>
      <c r="D33" s="1051"/>
      <c r="E33" s="1051"/>
      <c r="F33" s="1051"/>
      <c r="G33" s="1051"/>
      <c r="H33" s="1051"/>
      <c r="I33" s="1051"/>
      <c r="J33" s="1051"/>
      <c r="K33" s="1051"/>
      <c r="L33" s="1051"/>
      <c r="N33" s="1051" t="s">
        <v>2487</v>
      </c>
      <c r="O33" s="1051"/>
      <c r="P33" s="1051"/>
      <c r="Q33" s="1051"/>
      <c r="R33" s="1051"/>
      <c r="S33" s="1051"/>
      <c r="T33" s="1051"/>
      <c r="U33" s="1051"/>
      <c r="V33" s="1051"/>
      <c r="W33" s="1051"/>
      <c r="X33" s="1051"/>
    </row>
    <row r="34" spans="2:24" x14ac:dyDescent="0.3">
      <c r="B34" s="1051"/>
      <c r="C34" s="1051"/>
      <c r="D34" s="1051"/>
      <c r="E34" s="1051"/>
      <c r="F34" s="1051"/>
      <c r="G34" s="1051"/>
      <c r="H34" s="1051"/>
      <c r="I34" s="1051"/>
      <c r="J34" s="1051"/>
      <c r="K34" s="1051"/>
      <c r="L34" s="1051"/>
      <c r="N34" s="1051"/>
      <c r="O34" s="1051"/>
      <c r="P34" s="1051"/>
      <c r="Q34" s="1051"/>
      <c r="R34" s="1051"/>
      <c r="S34" s="1051"/>
      <c r="T34" s="1051"/>
      <c r="U34" s="1051"/>
      <c r="V34" s="1051"/>
      <c r="W34" s="1051"/>
      <c r="X34" s="1051"/>
    </row>
    <row r="35" spans="2:24" x14ac:dyDescent="0.3">
      <c r="B35" s="1051"/>
      <c r="C35" s="1051"/>
      <c r="D35" s="1051"/>
      <c r="E35" s="1051"/>
      <c r="F35" s="1051"/>
      <c r="G35" s="1051"/>
      <c r="H35" s="1051"/>
      <c r="I35" s="1051"/>
      <c r="J35" s="1051"/>
      <c r="K35" s="1051"/>
      <c r="L35" s="1051"/>
      <c r="N35" s="1051"/>
      <c r="O35" s="1051"/>
      <c r="P35" s="1051"/>
      <c r="Q35" s="1051"/>
      <c r="R35" s="1051"/>
      <c r="S35" s="1051"/>
      <c r="T35" s="1051"/>
      <c r="U35" s="1051"/>
      <c r="V35" s="1051"/>
      <c r="W35" s="1051"/>
      <c r="X35" s="1051"/>
    </row>
    <row r="36" spans="2:24" ht="15" customHeight="1" x14ac:dyDescent="0.3">
      <c r="B36" s="1052" t="s">
        <v>3235</v>
      </c>
      <c r="C36" s="1053"/>
      <c r="D36" s="1053"/>
      <c r="E36" s="1053"/>
      <c r="F36" s="1053"/>
      <c r="G36" s="1053"/>
      <c r="H36" s="1053"/>
      <c r="I36" s="1053"/>
      <c r="J36" s="1053"/>
      <c r="K36" s="1053"/>
      <c r="L36" s="1054"/>
      <c r="N36" s="1051" t="s">
        <v>2488</v>
      </c>
      <c r="O36" s="1051"/>
      <c r="P36" s="1051"/>
      <c r="Q36" s="1051"/>
      <c r="R36" s="1051"/>
      <c r="S36" s="1051"/>
      <c r="T36" s="1051"/>
      <c r="U36" s="1051"/>
      <c r="V36" s="1051"/>
      <c r="W36" s="1051"/>
      <c r="X36" s="1051"/>
    </row>
    <row r="37" spans="2:24" x14ac:dyDescent="0.3">
      <c r="B37" s="1055"/>
      <c r="C37" s="1056"/>
      <c r="D37" s="1056"/>
      <c r="E37" s="1056"/>
      <c r="F37" s="1056"/>
      <c r="G37" s="1056"/>
      <c r="H37" s="1056"/>
      <c r="I37" s="1056"/>
      <c r="J37" s="1056"/>
      <c r="K37" s="1056"/>
      <c r="L37" s="1057"/>
      <c r="N37" s="1051"/>
      <c r="O37" s="1051"/>
      <c r="P37" s="1051"/>
      <c r="Q37" s="1051"/>
      <c r="R37" s="1051"/>
      <c r="S37" s="1051"/>
      <c r="T37" s="1051"/>
      <c r="U37" s="1051"/>
      <c r="V37" s="1051"/>
      <c r="W37" s="1051"/>
      <c r="X37" s="1051"/>
    </row>
    <row r="38" spans="2:24" x14ac:dyDescent="0.3">
      <c r="B38" s="1055"/>
      <c r="C38" s="1056"/>
      <c r="D38" s="1056"/>
      <c r="E38" s="1056"/>
      <c r="F38" s="1056"/>
      <c r="G38" s="1056"/>
      <c r="H38" s="1056"/>
      <c r="I38" s="1056"/>
      <c r="J38" s="1056"/>
      <c r="K38" s="1056"/>
      <c r="L38" s="1057"/>
      <c r="N38" s="1051"/>
      <c r="O38" s="1051"/>
      <c r="P38" s="1051"/>
      <c r="Q38" s="1051"/>
      <c r="R38" s="1051"/>
      <c r="S38" s="1051"/>
      <c r="T38" s="1051"/>
      <c r="U38" s="1051"/>
      <c r="V38" s="1051"/>
      <c r="W38" s="1051"/>
      <c r="X38" s="1051"/>
    </row>
    <row r="39" spans="2:24" x14ac:dyDescent="0.3">
      <c r="B39" s="1055"/>
      <c r="C39" s="1056"/>
      <c r="D39" s="1056"/>
      <c r="E39" s="1056"/>
      <c r="F39" s="1056"/>
      <c r="G39" s="1056"/>
      <c r="H39" s="1056"/>
      <c r="I39" s="1056"/>
      <c r="J39" s="1056"/>
      <c r="K39" s="1056"/>
      <c r="L39" s="1057"/>
    </row>
    <row r="40" spans="2:24" x14ac:dyDescent="0.3">
      <c r="B40" s="1055"/>
      <c r="C40" s="1056"/>
      <c r="D40" s="1056"/>
      <c r="E40" s="1056"/>
      <c r="F40" s="1056"/>
      <c r="G40" s="1056"/>
      <c r="H40" s="1056"/>
      <c r="I40" s="1056"/>
      <c r="J40" s="1056"/>
      <c r="K40" s="1056"/>
      <c r="L40" s="1057"/>
    </row>
    <row r="41" spans="2:24" x14ac:dyDescent="0.3">
      <c r="B41" s="1055"/>
      <c r="C41" s="1056"/>
      <c r="D41" s="1056"/>
      <c r="E41" s="1056"/>
      <c r="F41" s="1056"/>
      <c r="G41" s="1056"/>
      <c r="H41" s="1056"/>
      <c r="I41" s="1056"/>
      <c r="J41" s="1056"/>
      <c r="K41" s="1056"/>
      <c r="L41" s="1057"/>
    </row>
    <row r="42" spans="2:24" x14ac:dyDescent="0.3">
      <c r="B42" s="1055"/>
      <c r="C42" s="1056"/>
      <c r="D42" s="1056"/>
      <c r="E42" s="1056"/>
      <c r="F42" s="1056"/>
      <c r="G42" s="1056"/>
      <c r="H42" s="1056"/>
      <c r="I42" s="1056"/>
      <c r="J42" s="1056"/>
      <c r="K42" s="1056"/>
      <c r="L42" s="1057"/>
    </row>
    <row r="43" spans="2:24" x14ac:dyDescent="0.3">
      <c r="B43" s="1058"/>
      <c r="C43" s="1059"/>
      <c r="D43" s="1059"/>
      <c r="E43" s="1059"/>
      <c r="F43" s="1059"/>
      <c r="G43" s="1059"/>
      <c r="H43" s="1059"/>
      <c r="I43" s="1059"/>
      <c r="J43" s="1059"/>
      <c r="K43" s="1059"/>
      <c r="L43" s="1060"/>
    </row>
  </sheetData>
  <sheetProtection algorithmName="SHA-512" hashValue="1ceL1cz6UwjScaXsJPw3voN+i7Ru/MojWCzjhFIZmgINpfaEv8b7ElXrAcM8yr0Dsu+5+tPbhyUS96CNz2nOrA==" saltValue="C6k15WmcEQoHE6/Fuj0/zA==" spinCount="100000" sheet="1" objects="1" scenarios="1"/>
  <mergeCells count="12">
    <mergeCell ref="B3:F3"/>
    <mergeCell ref="H3:L3"/>
    <mergeCell ref="B2:L2"/>
    <mergeCell ref="N2:X2"/>
    <mergeCell ref="N3:R3"/>
    <mergeCell ref="T3:X3"/>
    <mergeCell ref="B31:L32"/>
    <mergeCell ref="B33:L35"/>
    <mergeCell ref="N31:X32"/>
    <mergeCell ref="N33:X35"/>
    <mergeCell ref="N36:X38"/>
    <mergeCell ref="B36:L4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3">
    <tabColor rgb="FFFF0000"/>
  </sheetPr>
  <dimension ref="B1:V306"/>
  <sheetViews>
    <sheetView zoomScaleNormal="100" workbookViewId="0">
      <pane ySplit="4" topLeftCell="A5" activePane="bottomLeft" state="frozen"/>
      <selection activeCell="L226" sqref="L226:M226"/>
      <selection pane="bottomLeft"/>
    </sheetView>
  </sheetViews>
  <sheetFormatPr baseColWidth="10" defaultColWidth="9.109375" defaultRowHeight="14.4" x14ac:dyDescent="0.3"/>
  <cols>
    <col min="2" max="2" width="9.109375" hidden="1" customWidth="1"/>
    <col min="3" max="3" width="54.109375" hidden="1" customWidth="1"/>
    <col min="4" max="4" width="4.5546875" customWidth="1"/>
    <col min="5" max="5" width="28.109375" style="36" bestFit="1" customWidth="1"/>
    <col min="6" max="6" width="13.44140625" style="36" customWidth="1"/>
    <col min="7" max="7" width="33" style="36" hidden="1" customWidth="1"/>
    <col min="8" max="11" width="19.44140625" style="36" customWidth="1"/>
    <col min="12" max="12" width="6.88671875" style="36" customWidth="1"/>
    <col min="13" max="13" width="12.5546875" style="36" hidden="1" customWidth="1"/>
    <col min="14" max="14" width="19.44140625" style="285" hidden="1" customWidth="1"/>
    <col min="16" max="16" width="26.5546875" style="65" bestFit="1" customWidth="1"/>
    <col min="17" max="17" width="13.44140625" style="65" customWidth="1"/>
    <col min="18" max="18" width="33" style="65" hidden="1" customWidth="1"/>
    <col min="19" max="22" width="19.44140625" style="65" customWidth="1"/>
  </cols>
  <sheetData>
    <row r="1" spans="2:22" ht="15" thickBot="1" x14ac:dyDescent="0.35"/>
    <row r="2" spans="2:22" ht="19.2" thickTop="1" thickBot="1" x14ac:dyDescent="0.4">
      <c r="E2" s="1095" t="s">
        <v>2539</v>
      </c>
      <c r="F2" s="1096"/>
      <c r="G2" s="1096"/>
      <c r="H2" s="1096"/>
      <c r="I2" s="1096"/>
      <c r="J2" s="1096"/>
      <c r="K2" s="1097"/>
      <c r="L2" s="283"/>
      <c r="M2" s="283"/>
      <c r="N2" s="286"/>
      <c r="P2" s="1082" t="s">
        <v>2540</v>
      </c>
      <c r="Q2" s="1083"/>
      <c r="R2" s="1083"/>
      <c r="S2" s="1083"/>
      <c r="T2" s="1083"/>
      <c r="U2" s="1083"/>
      <c r="V2" s="1084"/>
    </row>
    <row r="3" spans="2:22" x14ac:dyDescent="0.3">
      <c r="B3" s="1" t="s">
        <v>688</v>
      </c>
      <c r="C3" s="1" t="s">
        <v>686</v>
      </c>
      <c r="E3" s="1102" t="s">
        <v>281</v>
      </c>
      <c r="F3" s="1100" t="s">
        <v>632</v>
      </c>
      <c r="G3" s="1098" t="s">
        <v>633</v>
      </c>
      <c r="H3" s="1093" t="s">
        <v>287</v>
      </c>
      <c r="I3" s="1093"/>
      <c r="J3" s="1093" t="s">
        <v>288</v>
      </c>
      <c r="K3" s="1094"/>
      <c r="L3" s="282"/>
      <c r="M3" s="1" t="s">
        <v>689</v>
      </c>
      <c r="N3" s="287" t="s">
        <v>687</v>
      </c>
      <c r="P3" s="1085" t="s">
        <v>281</v>
      </c>
      <c r="Q3" s="1087" t="s">
        <v>632</v>
      </c>
      <c r="R3" s="1089" t="s">
        <v>633</v>
      </c>
      <c r="S3" s="1091" t="s">
        <v>287</v>
      </c>
      <c r="T3" s="1091"/>
      <c r="U3" s="1091" t="s">
        <v>288</v>
      </c>
      <c r="V3" s="1092"/>
    </row>
    <row r="4" spans="2:22" ht="15" thickBot="1" x14ac:dyDescent="0.35">
      <c r="E4" s="1103"/>
      <c r="F4" s="1101"/>
      <c r="G4" s="1099"/>
      <c r="H4" s="246" t="s">
        <v>289</v>
      </c>
      <c r="I4" s="247" t="s">
        <v>290</v>
      </c>
      <c r="J4" s="246" t="s">
        <v>289</v>
      </c>
      <c r="K4" s="248" t="s">
        <v>290</v>
      </c>
      <c r="L4" s="284"/>
      <c r="M4" s="284"/>
      <c r="N4" s="288"/>
      <c r="P4" s="1086"/>
      <c r="Q4" s="1088"/>
      <c r="R4" s="1090"/>
      <c r="S4" s="235" t="s">
        <v>289</v>
      </c>
      <c r="T4" s="236" t="s">
        <v>290</v>
      </c>
      <c r="U4" s="235" t="s">
        <v>289</v>
      </c>
      <c r="V4" s="237" t="s">
        <v>290</v>
      </c>
    </row>
    <row r="5" spans="2:22" x14ac:dyDescent="0.3">
      <c r="B5" t="str">
        <f>E5&amp;F5</f>
        <v>AlsaceAbricotier</v>
      </c>
      <c r="C5" t="str">
        <f>E5&amp;F5&amp;G5</f>
        <v>AlsaceAbricotierAbricotier</v>
      </c>
      <c r="E5" s="228" t="s">
        <v>10</v>
      </c>
      <c r="F5" s="229" t="s">
        <v>127</v>
      </c>
      <c r="G5" s="229" t="s">
        <v>127</v>
      </c>
      <c r="H5" s="221">
        <v>0.01</v>
      </c>
      <c r="I5" s="221">
        <v>0.62</v>
      </c>
      <c r="J5" s="221">
        <v>5.1100000000000003</v>
      </c>
      <c r="K5" s="225">
        <v>10.66</v>
      </c>
      <c r="L5" s="196"/>
      <c r="M5" s="289" t="str">
        <f>P5&amp;Q5</f>
        <v>AlsaceAbricotier</v>
      </c>
      <c r="N5" s="289" t="str">
        <f>P5&amp;Q5&amp;R5</f>
        <v>AlsaceAbricotierAbricotier</v>
      </c>
      <c r="P5" s="238" t="s">
        <v>10</v>
      </c>
      <c r="Q5" s="239" t="s">
        <v>127</v>
      </c>
      <c r="R5" s="239" t="s">
        <v>127</v>
      </c>
      <c r="S5" s="221"/>
      <c r="T5" s="221"/>
      <c r="U5" s="221"/>
      <c r="V5" s="225"/>
    </row>
    <row r="6" spans="2:22" x14ac:dyDescent="0.3">
      <c r="B6" t="str">
        <f t="shared" ref="B6:B69" si="0">E6&amp;F6</f>
        <v>AlsaceAgrumes</v>
      </c>
      <c r="C6" t="str">
        <f t="shared" ref="C6:C69" si="1">E6&amp;F6&amp;G6</f>
        <v>AlsaceAgrumesClémentinier</v>
      </c>
      <c r="E6" s="230" t="s">
        <v>10</v>
      </c>
      <c r="F6" s="135" t="s">
        <v>634</v>
      </c>
      <c r="G6" s="135" t="s">
        <v>135</v>
      </c>
      <c r="H6" s="220">
        <v>0</v>
      </c>
      <c r="I6" s="220">
        <v>0.3</v>
      </c>
      <c r="J6" s="220">
        <v>2</v>
      </c>
      <c r="K6" s="223">
        <v>5</v>
      </c>
      <c r="L6" s="196"/>
      <c r="M6" s="289" t="str">
        <f t="shared" ref="M6:M69" si="2">P6&amp;Q6</f>
        <v>AlsaceAgrumes</v>
      </c>
      <c r="N6" s="289" t="str">
        <f t="shared" ref="N6:N69" si="3">P6&amp;Q6&amp;R6</f>
        <v>AlsaceAgrumesClémentinier</v>
      </c>
      <c r="P6" s="240" t="s">
        <v>10</v>
      </c>
      <c r="Q6" s="241" t="s">
        <v>634</v>
      </c>
      <c r="R6" s="241" t="s">
        <v>135</v>
      </c>
      <c r="S6" s="220"/>
      <c r="T6" s="220"/>
      <c r="U6" s="220"/>
      <c r="V6" s="223"/>
    </row>
    <row r="7" spans="2:22" x14ac:dyDescent="0.3">
      <c r="B7" t="str">
        <f t="shared" si="0"/>
        <v>AlsaceAutres</v>
      </c>
      <c r="C7" t="str">
        <f t="shared" si="1"/>
        <v>AlsaceAutresPrunier</v>
      </c>
      <c r="E7" s="230" t="s">
        <v>10</v>
      </c>
      <c r="F7" s="135" t="s">
        <v>170</v>
      </c>
      <c r="G7" s="135" t="s">
        <v>162</v>
      </c>
      <c r="H7" s="220">
        <v>0</v>
      </c>
      <c r="I7" s="220">
        <v>0.43</v>
      </c>
      <c r="J7" s="220">
        <v>3.64</v>
      </c>
      <c r="K7" s="223">
        <v>10.64</v>
      </c>
      <c r="L7" s="196"/>
      <c r="M7" s="289" t="str">
        <f t="shared" si="2"/>
        <v>AlsaceAutres</v>
      </c>
      <c r="N7" s="289" t="str">
        <f t="shared" si="3"/>
        <v>AlsaceAutresPrunier</v>
      </c>
      <c r="P7" s="240" t="s">
        <v>10</v>
      </c>
      <c r="Q7" s="241" t="s">
        <v>170</v>
      </c>
      <c r="R7" s="241" t="s">
        <v>162</v>
      </c>
      <c r="S7" s="220"/>
      <c r="T7" s="220"/>
      <c r="U7" s="220"/>
      <c r="V7" s="223"/>
    </row>
    <row r="8" spans="2:22" x14ac:dyDescent="0.3">
      <c r="B8" t="str">
        <f t="shared" si="0"/>
        <v>AlsaceCerisier</v>
      </c>
      <c r="C8" t="str">
        <f t="shared" si="1"/>
        <v>AlsaceCerisierCerisier</v>
      </c>
      <c r="E8" s="230" t="s">
        <v>10</v>
      </c>
      <c r="F8" s="135" t="s">
        <v>132</v>
      </c>
      <c r="G8" s="135" t="s">
        <v>132</v>
      </c>
      <c r="H8" s="220">
        <v>0</v>
      </c>
      <c r="I8" s="220">
        <v>0.46</v>
      </c>
      <c r="J8" s="220">
        <v>3.86</v>
      </c>
      <c r="K8" s="223">
        <v>8.0299999999999994</v>
      </c>
      <c r="L8" s="196"/>
      <c r="M8" s="289" t="str">
        <f t="shared" si="2"/>
        <v>AlsaceCerisier</v>
      </c>
      <c r="N8" s="289" t="str">
        <f t="shared" si="3"/>
        <v>AlsaceCerisierCerisier</v>
      </c>
      <c r="P8" s="240" t="s">
        <v>10</v>
      </c>
      <c r="Q8" s="241" t="s">
        <v>132</v>
      </c>
      <c r="R8" s="241" t="s">
        <v>132</v>
      </c>
      <c r="S8" s="220"/>
      <c r="T8" s="220"/>
      <c r="U8" s="220"/>
      <c r="V8" s="223"/>
    </row>
    <row r="9" spans="2:22" x14ac:dyDescent="0.3">
      <c r="B9" t="str">
        <f t="shared" si="0"/>
        <v>AlsaceMirabellier</v>
      </c>
      <c r="C9" t="str">
        <f t="shared" si="1"/>
        <v>AlsaceMirabellierAutres</v>
      </c>
      <c r="E9" s="230" t="s">
        <v>10</v>
      </c>
      <c r="F9" s="135" t="s">
        <v>145</v>
      </c>
      <c r="G9" s="135" t="s">
        <v>170</v>
      </c>
      <c r="H9" s="220">
        <v>0</v>
      </c>
      <c r="I9" s="220">
        <v>0.43</v>
      </c>
      <c r="J9" s="220">
        <v>3.64</v>
      </c>
      <c r="K9" s="223">
        <v>10.64</v>
      </c>
      <c r="L9" s="196"/>
      <c r="M9" s="289" t="str">
        <f t="shared" si="2"/>
        <v>AlsaceMirabellier</v>
      </c>
      <c r="N9" s="289" t="str">
        <f t="shared" si="3"/>
        <v>AlsaceMirabellierAutres</v>
      </c>
      <c r="P9" s="240" t="s">
        <v>10</v>
      </c>
      <c r="Q9" s="241" t="s">
        <v>145</v>
      </c>
      <c r="R9" s="241" t="s">
        <v>170</v>
      </c>
      <c r="S9" s="220"/>
      <c r="T9" s="220"/>
      <c r="U9" s="220"/>
      <c r="V9" s="223"/>
    </row>
    <row r="10" spans="2:22" x14ac:dyDescent="0.3">
      <c r="B10" t="str">
        <f t="shared" si="0"/>
        <v>AlsaceNectarinier</v>
      </c>
      <c r="C10" t="str">
        <f t="shared" si="1"/>
        <v>AlsaceNectarinierNectarinier-Pêcher</v>
      </c>
      <c r="E10" s="230" t="s">
        <v>10</v>
      </c>
      <c r="F10" s="135" t="s">
        <v>151</v>
      </c>
      <c r="G10" s="135" t="s">
        <v>635</v>
      </c>
      <c r="H10" s="220">
        <v>0.03</v>
      </c>
      <c r="I10" s="220">
        <v>0.84</v>
      </c>
      <c r="J10" s="220">
        <v>9.25</v>
      </c>
      <c r="K10" s="223">
        <v>19.38</v>
      </c>
      <c r="L10" s="196"/>
      <c r="M10" s="289" t="str">
        <f t="shared" si="2"/>
        <v>AlsaceNectarinier</v>
      </c>
      <c r="N10" s="289" t="str">
        <f t="shared" si="3"/>
        <v>AlsaceNectarinierNectarinier-Pêcher</v>
      </c>
      <c r="P10" s="240" t="s">
        <v>10</v>
      </c>
      <c r="Q10" s="241" t="s">
        <v>151</v>
      </c>
      <c r="R10" s="241" t="s">
        <v>635</v>
      </c>
      <c r="S10" s="220"/>
      <c r="T10" s="220"/>
      <c r="U10" s="220"/>
      <c r="V10" s="223"/>
    </row>
    <row r="11" spans="2:22" x14ac:dyDescent="0.3">
      <c r="B11" t="str">
        <f t="shared" si="0"/>
        <v>AlsaceNoyer</v>
      </c>
      <c r="C11" t="str">
        <f t="shared" si="1"/>
        <v>AlsaceNoyerAutres</v>
      </c>
      <c r="E11" s="230" t="s">
        <v>10</v>
      </c>
      <c r="F11" s="135" t="s">
        <v>154</v>
      </c>
      <c r="G11" s="135" t="s">
        <v>170</v>
      </c>
      <c r="H11" s="220">
        <v>0</v>
      </c>
      <c r="I11" s="220">
        <v>0.43</v>
      </c>
      <c r="J11" s="220">
        <v>3.64</v>
      </c>
      <c r="K11" s="223">
        <v>10.64</v>
      </c>
      <c r="L11" s="196"/>
      <c r="M11" s="289" t="str">
        <f t="shared" si="2"/>
        <v>AlsaceNoyer</v>
      </c>
      <c r="N11" s="289" t="str">
        <f t="shared" si="3"/>
        <v>AlsaceNoyerAutres</v>
      </c>
      <c r="P11" s="240" t="s">
        <v>10</v>
      </c>
      <c r="Q11" s="241" t="s">
        <v>154</v>
      </c>
      <c r="R11" s="241" t="s">
        <v>170</v>
      </c>
      <c r="S11" s="220"/>
      <c r="T11" s="220"/>
      <c r="U11" s="220"/>
      <c r="V11" s="223"/>
    </row>
    <row r="12" spans="2:22" x14ac:dyDescent="0.3">
      <c r="B12" t="str">
        <f t="shared" si="0"/>
        <v>AlsacePêcher</v>
      </c>
      <c r="C12" t="str">
        <f t="shared" si="1"/>
        <v>AlsacePêcherNectarinier-Pêcher</v>
      </c>
      <c r="E12" s="230" t="s">
        <v>10</v>
      </c>
      <c r="F12" s="135" t="s">
        <v>158</v>
      </c>
      <c r="G12" s="135" t="s">
        <v>635</v>
      </c>
      <c r="H12" s="220">
        <v>0.03</v>
      </c>
      <c r="I12" s="220">
        <v>0.84</v>
      </c>
      <c r="J12" s="220">
        <v>9.25</v>
      </c>
      <c r="K12" s="223">
        <v>19.38</v>
      </c>
      <c r="L12" s="196"/>
      <c r="M12" s="289" t="str">
        <f t="shared" si="2"/>
        <v>AlsacePêcher</v>
      </c>
      <c r="N12" s="289" t="str">
        <f t="shared" si="3"/>
        <v>AlsacePêcherNectarinier-Pêcher</v>
      </c>
      <c r="P12" s="240" t="s">
        <v>10</v>
      </c>
      <c r="Q12" s="241" t="s">
        <v>158</v>
      </c>
      <c r="R12" s="241" t="s">
        <v>635</v>
      </c>
      <c r="S12" s="220"/>
      <c r="T12" s="220"/>
      <c r="U12" s="220"/>
      <c r="V12" s="223"/>
    </row>
    <row r="13" spans="2:22" x14ac:dyDescent="0.3">
      <c r="B13" t="str">
        <f t="shared" si="0"/>
        <v>AlsacePoirier</v>
      </c>
      <c r="C13" t="str">
        <f t="shared" si="1"/>
        <v>AlsacePoirierAutres</v>
      </c>
      <c r="E13" s="230" t="s">
        <v>10</v>
      </c>
      <c r="F13" s="135" t="s">
        <v>159</v>
      </c>
      <c r="G13" s="135" t="s">
        <v>170</v>
      </c>
      <c r="H13" s="220">
        <v>0</v>
      </c>
      <c r="I13" s="220">
        <v>0.43</v>
      </c>
      <c r="J13" s="220">
        <v>3.64</v>
      </c>
      <c r="K13" s="223">
        <v>10.64</v>
      </c>
      <c r="L13" s="196"/>
      <c r="M13" s="289" t="str">
        <f t="shared" si="2"/>
        <v>AlsacePoirier</v>
      </c>
      <c r="N13" s="289" t="str">
        <f t="shared" si="3"/>
        <v>AlsacePoirierAutres</v>
      </c>
      <c r="P13" s="240" t="s">
        <v>10</v>
      </c>
      <c r="Q13" s="241" t="s">
        <v>159</v>
      </c>
      <c r="R13" s="241" t="s">
        <v>170</v>
      </c>
      <c r="S13" s="220"/>
      <c r="T13" s="220"/>
      <c r="U13" s="220"/>
      <c r="V13" s="223"/>
    </row>
    <row r="14" spans="2:22" x14ac:dyDescent="0.3">
      <c r="B14" t="str">
        <f t="shared" si="0"/>
        <v>AlsacePommier</v>
      </c>
      <c r="C14" t="str">
        <f t="shared" si="1"/>
        <v>AlsacePommierPommier</v>
      </c>
      <c r="E14" s="230" t="s">
        <v>10</v>
      </c>
      <c r="F14" s="135" t="s">
        <v>161</v>
      </c>
      <c r="G14" s="135" t="s">
        <v>161</v>
      </c>
      <c r="H14" s="220">
        <v>0</v>
      </c>
      <c r="I14" s="220">
        <v>1.1100000000000001</v>
      </c>
      <c r="J14" s="220">
        <v>5.92</v>
      </c>
      <c r="K14" s="223">
        <v>24.76</v>
      </c>
      <c r="L14" s="196"/>
      <c r="M14" s="289" t="str">
        <f t="shared" si="2"/>
        <v>AlsacePommier</v>
      </c>
      <c r="N14" s="289" t="str">
        <f t="shared" si="3"/>
        <v>AlsacePommierPommier</v>
      </c>
      <c r="P14" s="240" t="s">
        <v>10</v>
      </c>
      <c r="Q14" s="241" t="s">
        <v>161</v>
      </c>
      <c r="R14" s="241" t="s">
        <v>161</v>
      </c>
      <c r="S14" s="220"/>
      <c r="T14" s="220"/>
      <c r="U14" s="220"/>
      <c r="V14" s="223"/>
    </row>
    <row r="15" spans="2:22" ht="15" thickBot="1" x14ac:dyDescent="0.35">
      <c r="B15" t="str">
        <f t="shared" si="0"/>
        <v>AlsacePrunier</v>
      </c>
      <c r="C15" t="str">
        <f t="shared" si="1"/>
        <v>AlsacePrunierPrunier</v>
      </c>
      <c r="E15" s="231" t="s">
        <v>10</v>
      </c>
      <c r="F15" s="232" t="s">
        <v>162</v>
      </c>
      <c r="G15" s="232" t="s">
        <v>162</v>
      </c>
      <c r="H15" s="222">
        <v>0</v>
      </c>
      <c r="I15" s="222">
        <v>0.43</v>
      </c>
      <c r="J15" s="222">
        <v>3.64</v>
      </c>
      <c r="K15" s="224">
        <v>10.64</v>
      </c>
      <c r="L15" s="196"/>
      <c r="M15" s="289" t="str">
        <f t="shared" si="2"/>
        <v>AlsacePrunier</v>
      </c>
      <c r="N15" s="289" t="str">
        <f t="shared" si="3"/>
        <v>AlsacePrunierPrunier</v>
      </c>
      <c r="P15" s="242" t="s">
        <v>10</v>
      </c>
      <c r="Q15" s="243" t="s">
        <v>162</v>
      </c>
      <c r="R15" s="243" t="s">
        <v>162</v>
      </c>
      <c r="S15" s="222"/>
      <c r="T15" s="222"/>
      <c r="U15" s="222"/>
      <c r="V15" s="224"/>
    </row>
    <row r="16" spans="2:22" ht="15" thickTop="1" x14ac:dyDescent="0.3">
      <c r="B16" t="str">
        <f t="shared" si="0"/>
        <v>AquitaineAbricotier</v>
      </c>
      <c r="C16" t="str">
        <f t="shared" si="1"/>
        <v>AquitaineAbricotierAbricotier</v>
      </c>
      <c r="E16" s="228" t="s">
        <v>11</v>
      </c>
      <c r="F16" s="229" t="s">
        <v>127</v>
      </c>
      <c r="G16" s="229" t="s">
        <v>127</v>
      </c>
      <c r="H16" s="221">
        <v>0.01</v>
      </c>
      <c r="I16" s="221">
        <v>0.62</v>
      </c>
      <c r="J16" s="221">
        <v>5.1100000000000003</v>
      </c>
      <c r="K16" s="225">
        <v>10.66</v>
      </c>
      <c r="L16" s="196"/>
      <c r="M16" s="289" t="str">
        <f t="shared" si="2"/>
        <v>AquitaineAbricotier</v>
      </c>
      <c r="N16" s="289" t="str">
        <f t="shared" si="3"/>
        <v>AquitaineAbricotierAbricotier</v>
      </c>
      <c r="P16" s="238" t="s">
        <v>11</v>
      </c>
      <c r="Q16" s="239" t="s">
        <v>127</v>
      </c>
      <c r="R16" s="239" t="s">
        <v>127</v>
      </c>
      <c r="S16" s="221"/>
      <c r="T16" s="221"/>
      <c r="U16" s="221"/>
      <c r="V16" s="225"/>
    </row>
    <row r="17" spans="2:22" x14ac:dyDescent="0.3">
      <c r="B17" t="str">
        <f t="shared" si="0"/>
        <v>AquitaineAgrumes</v>
      </c>
      <c r="C17" t="str">
        <f t="shared" si="1"/>
        <v>AquitaineAgrumesClémentinier</v>
      </c>
      <c r="E17" s="230" t="s">
        <v>11</v>
      </c>
      <c r="F17" s="135" t="s">
        <v>634</v>
      </c>
      <c r="G17" s="135" t="s">
        <v>135</v>
      </c>
      <c r="H17" s="220">
        <v>0</v>
      </c>
      <c r="I17" s="220">
        <v>0.3</v>
      </c>
      <c r="J17" s="220">
        <v>2</v>
      </c>
      <c r="K17" s="223">
        <v>5</v>
      </c>
      <c r="L17" s="196"/>
      <c r="M17" s="289" t="str">
        <f t="shared" si="2"/>
        <v>AquitaineAgrumes</v>
      </c>
      <c r="N17" s="289" t="str">
        <f t="shared" si="3"/>
        <v>AquitaineAgrumesClémentinier</v>
      </c>
      <c r="P17" s="240" t="s">
        <v>11</v>
      </c>
      <c r="Q17" s="241" t="s">
        <v>634</v>
      </c>
      <c r="R17" s="241" t="s">
        <v>135</v>
      </c>
      <c r="S17" s="220"/>
      <c r="T17" s="220"/>
      <c r="U17" s="220"/>
      <c r="V17" s="223"/>
    </row>
    <row r="18" spans="2:22" x14ac:dyDescent="0.3">
      <c r="B18" t="str">
        <f t="shared" si="0"/>
        <v>AquitaineAutres</v>
      </c>
      <c r="C18" t="str">
        <f t="shared" si="1"/>
        <v>AquitaineAutresPrunier</v>
      </c>
      <c r="E18" s="230" t="s">
        <v>11</v>
      </c>
      <c r="F18" s="135" t="s">
        <v>170</v>
      </c>
      <c r="G18" s="135" t="s">
        <v>162</v>
      </c>
      <c r="H18" s="220">
        <v>0.04</v>
      </c>
      <c r="I18" s="220">
        <v>0.28999999999999998</v>
      </c>
      <c r="J18" s="220">
        <v>5.44</v>
      </c>
      <c r="K18" s="223">
        <v>9.0500000000000007</v>
      </c>
      <c r="L18" s="196"/>
      <c r="M18" s="289" t="str">
        <f t="shared" si="2"/>
        <v>AquitaineAutres</v>
      </c>
      <c r="N18" s="289" t="str">
        <f t="shared" si="3"/>
        <v>AquitaineAutresPrunier</v>
      </c>
      <c r="P18" s="240" t="s">
        <v>11</v>
      </c>
      <c r="Q18" s="241" t="s">
        <v>170</v>
      </c>
      <c r="R18" s="241" t="s">
        <v>162</v>
      </c>
      <c r="S18" s="220"/>
      <c r="T18" s="220"/>
      <c r="U18" s="220"/>
      <c r="V18" s="223"/>
    </row>
    <row r="19" spans="2:22" x14ac:dyDescent="0.3">
      <c r="B19" t="str">
        <f t="shared" si="0"/>
        <v>AquitaineCerisier</v>
      </c>
      <c r="C19" t="str">
        <f t="shared" si="1"/>
        <v>AquitaineCerisierCerisier</v>
      </c>
      <c r="E19" s="230" t="s">
        <v>11</v>
      </c>
      <c r="F19" s="135" t="s">
        <v>132</v>
      </c>
      <c r="G19" s="135" t="s">
        <v>132</v>
      </c>
      <c r="H19" s="220">
        <v>0</v>
      </c>
      <c r="I19" s="220">
        <v>0.26</v>
      </c>
      <c r="J19" s="220">
        <v>2.31</v>
      </c>
      <c r="K19" s="223">
        <v>10.67</v>
      </c>
      <c r="L19" s="196"/>
      <c r="M19" s="289" t="str">
        <f t="shared" si="2"/>
        <v>AquitaineCerisier</v>
      </c>
      <c r="N19" s="289" t="str">
        <f t="shared" si="3"/>
        <v>AquitaineCerisierCerisier</v>
      </c>
      <c r="P19" s="240" t="s">
        <v>11</v>
      </c>
      <c r="Q19" s="241" t="s">
        <v>132</v>
      </c>
      <c r="R19" s="241" t="s">
        <v>132</v>
      </c>
      <c r="S19" s="220"/>
      <c r="T19" s="220"/>
      <c r="U19" s="220"/>
      <c r="V19" s="223"/>
    </row>
    <row r="20" spans="2:22" x14ac:dyDescent="0.3">
      <c r="B20" t="str">
        <f t="shared" si="0"/>
        <v>AquitaineMirabellier</v>
      </c>
      <c r="C20" t="str">
        <f t="shared" si="1"/>
        <v>AquitaineMirabellierAutres</v>
      </c>
      <c r="E20" s="230" t="s">
        <v>11</v>
      </c>
      <c r="F20" s="135" t="s">
        <v>145</v>
      </c>
      <c r="G20" s="135" t="s">
        <v>170</v>
      </c>
      <c r="H20" s="220">
        <v>0.04</v>
      </c>
      <c r="I20" s="220">
        <v>0.28999999999999998</v>
      </c>
      <c r="J20" s="220">
        <v>5.44</v>
      </c>
      <c r="K20" s="223">
        <v>9.0500000000000007</v>
      </c>
      <c r="L20" s="196"/>
      <c r="M20" s="289" t="str">
        <f t="shared" si="2"/>
        <v>AquitaineMirabellier</v>
      </c>
      <c r="N20" s="289" t="str">
        <f t="shared" si="3"/>
        <v>AquitaineMirabellierAutres</v>
      </c>
      <c r="P20" s="240" t="s">
        <v>11</v>
      </c>
      <c r="Q20" s="241" t="s">
        <v>145</v>
      </c>
      <c r="R20" s="241" t="s">
        <v>170</v>
      </c>
      <c r="S20" s="220"/>
      <c r="T20" s="220"/>
      <c r="U20" s="220"/>
      <c r="V20" s="223"/>
    </row>
    <row r="21" spans="2:22" x14ac:dyDescent="0.3">
      <c r="B21" t="str">
        <f t="shared" si="0"/>
        <v>AquitaineNectarinier</v>
      </c>
      <c r="C21" t="str">
        <f t="shared" si="1"/>
        <v>AquitaineNectarinierNectarinier-Pêcher</v>
      </c>
      <c r="E21" s="230" t="s">
        <v>11</v>
      </c>
      <c r="F21" s="135" t="s">
        <v>151</v>
      </c>
      <c r="G21" s="135" t="s">
        <v>635</v>
      </c>
      <c r="H21" s="220">
        <v>0.06</v>
      </c>
      <c r="I21" s="220">
        <v>0.33</v>
      </c>
      <c r="J21" s="220">
        <v>7.23</v>
      </c>
      <c r="K21" s="223">
        <v>15.63</v>
      </c>
      <c r="L21" s="196"/>
      <c r="M21" s="289" t="str">
        <f t="shared" si="2"/>
        <v>AquitaineNectarinier</v>
      </c>
      <c r="N21" s="289" t="str">
        <f t="shared" si="3"/>
        <v>AquitaineNectarinierNectarinier-Pêcher</v>
      </c>
      <c r="P21" s="240" t="s">
        <v>11</v>
      </c>
      <c r="Q21" s="241" t="s">
        <v>151</v>
      </c>
      <c r="R21" s="241" t="s">
        <v>635</v>
      </c>
      <c r="S21" s="220"/>
      <c r="T21" s="220"/>
      <c r="U21" s="220"/>
      <c r="V21" s="223"/>
    </row>
    <row r="22" spans="2:22" x14ac:dyDescent="0.3">
      <c r="B22" t="str">
        <f t="shared" si="0"/>
        <v>AquitaineNoyer</v>
      </c>
      <c r="C22" t="str">
        <f t="shared" si="1"/>
        <v>AquitaineNoyerAutres</v>
      </c>
      <c r="E22" s="230" t="s">
        <v>11</v>
      </c>
      <c r="F22" s="135" t="s">
        <v>154</v>
      </c>
      <c r="G22" s="135" t="s">
        <v>170</v>
      </c>
      <c r="H22" s="220">
        <v>0.04</v>
      </c>
      <c r="I22" s="220">
        <v>0.28999999999999998</v>
      </c>
      <c r="J22" s="220">
        <v>5.44</v>
      </c>
      <c r="K22" s="223">
        <v>9.0500000000000007</v>
      </c>
      <c r="L22" s="196"/>
      <c r="M22" s="289" t="str">
        <f t="shared" si="2"/>
        <v>AquitaineNoyer</v>
      </c>
      <c r="N22" s="289" t="str">
        <f t="shared" si="3"/>
        <v>AquitaineNoyerAutres</v>
      </c>
      <c r="P22" s="240" t="s">
        <v>11</v>
      </c>
      <c r="Q22" s="241" t="s">
        <v>154</v>
      </c>
      <c r="R22" s="241" t="s">
        <v>170</v>
      </c>
      <c r="S22" s="220"/>
      <c r="T22" s="220"/>
      <c r="U22" s="220"/>
      <c r="V22" s="223"/>
    </row>
    <row r="23" spans="2:22" x14ac:dyDescent="0.3">
      <c r="B23" t="str">
        <f t="shared" si="0"/>
        <v>AquitainePêcher</v>
      </c>
      <c r="C23" t="str">
        <f t="shared" si="1"/>
        <v>AquitainePêcherNectarinier-Pêcher</v>
      </c>
      <c r="E23" s="230" t="s">
        <v>11</v>
      </c>
      <c r="F23" s="135" t="s">
        <v>158</v>
      </c>
      <c r="G23" s="135" t="s">
        <v>635</v>
      </c>
      <c r="H23" s="220">
        <v>0.06</v>
      </c>
      <c r="I23" s="220">
        <v>0.33</v>
      </c>
      <c r="J23" s="220">
        <v>7.23</v>
      </c>
      <c r="K23" s="223">
        <v>15.63</v>
      </c>
      <c r="L23" s="196"/>
      <c r="M23" s="289" t="str">
        <f t="shared" si="2"/>
        <v>AquitainePêcher</v>
      </c>
      <c r="N23" s="289" t="str">
        <f t="shared" si="3"/>
        <v>AquitainePêcherNectarinier-Pêcher</v>
      </c>
      <c r="P23" s="240" t="s">
        <v>11</v>
      </c>
      <c r="Q23" s="241" t="s">
        <v>158</v>
      </c>
      <c r="R23" s="241" t="s">
        <v>635</v>
      </c>
      <c r="S23" s="220"/>
      <c r="T23" s="220"/>
      <c r="U23" s="220"/>
      <c r="V23" s="223"/>
    </row>
    <row r="24" spans="2:22" x14ac:dyDescent="0.3">
      <c r="B24" t="str">
        <f t="shared" si="0"/>
        <v>AquitainePoirier</v>
      </c>
      <c r="C24" t="str">
        <f t="shared" si="1"/>
        <v>AquitainePoirierAutres</v>
      </c>
      <c r="E24" s="230" t="s">
        <v>11</v>
      </c>
      <c r="F24" s="135" t="s">
        <v>159</v>
      </c>
      <c r="G24" s="135" t="s">
        <v>170</v>
      </c>
      <c r="H24" s="220">
        <v>0.04</v>
      </c>
      <c r="I24" s="220">
        <v>0.28999999999999998</v>
      </c>
      <c r="J24" s="220">
        <v>5.44</v>
      </c>
      <c r="K24" s="223">
        <v>9.0500000000000007</v>
      </c>
      <c r="L24" s="196"/>
      <c r="M24" s="289" t="str">
        <f t="shared" si="2"/>
        <v>AquitainePoirier</v>
      </c>
      <c r="N24" s="289" t="str">
        <f t="shared" si="3"/>
        <v>AquitainePoirierAutres</v>
      </c>
      <c r="P24" s="240" t="s">
        <v>11</v>
      </c>
      <c r="Q24" s="241" t="s">
        <v>159</v>
      </c>
      <c r="R24" s="241" t="s">
        <v>170</v>
      </c>
      <c r="S24" s="220"/>
      <c r="T24" s="220"/>
      <c r="U24" s="220"/>
      <c r="V24" s="223"/>
    </row>
    <row r="25" spans="2:22" x14ac:dyDescent="0.3">
      <c r="B25" t="str">
        <f t="shared" si="0"/>
        <v>AquitainePommier</v>
      </c>
      <c r="C25" t="str">
        <f t="shared" si="1"/>
        <v>AquitainePommierPommier</v>
      </c>
      <c r="E25" s="230" t="s">
        <v>11</v>
      </c>
      <c r="F25" s="135" t="s">
        <v>161</v>
      </c>
      <c r="G25" s="135" t="s">
        <v>161</v>
      </c>
      <c r="H25" s="220">
        <v>0.03</v>
      </c>
      <c r="I25" s="220">
        <v>0.59</v>
      </c>
      <c r="J25" s="220">
        <v>17.690000000000001</v>
      </c>
      <c r="K25" s="223">
        <v>36.58</v>
      </c>
      <c r="L25" s="196"/>
      <c r="M25" s="289" t="str">
        <f t="shared" si="2"/>
        <v>AquitainePommier</v>
      </c>
      <c r="N25" s="289" t="str">
        <f t="shared" si="3"/>
        <v>AquitainePommierPommier</v>
      </c>
      <c r="P25" s="240" t="s">
        <v>11</v>
      </c>
      <c r="Q25" s="241" t="s">
        <v>161</v>
      </c>
      <c r="R25" s="241" t="s">
        <v>161</v>
      </c>
      <c r="S25" s="220"/>
      <c r="T25" s="220"/>
      <c r="U25" s="220"/>
      <c r="V25" s="223"/>
    </row>
    <row r="26" spans="2:22" ht="15" thickBot="1" x14ac:dyDescent="0.35">
      <c r="B26" t="str">
        <f t="shared" si="0"/>
        <v>AquitainePrunier</v>
      </c>
      <c r="C26" t="str">
        <f t="shared" si="1"/>
        <v>AquitainePrunierPrunier</v>
      </c>
      <c r="E26" s="231" t="s">
        <v>11</v>
      </c>
      <c r="F26" s="232" t="s">
        <v>162</v>
      </c>
      <c r="G26" s="232" t="s">
        <v>162</v>
      </c>
      <c r="H26" s="222">
        <v>0.04</v>
      </c>
      <c r="I26" s="222">
        <v>0.28999999999999998</v>
      </c>
      <c r="J26" s="222">
        <v>5.44</v>
      </c>
      <c r="K26" s="224">
        <v>9.0500000000000007</v>
      </c>
      <c r="L26" s="196"/>
      <c r="M26" s="289" t="str">
        <f t="shared" si="2"/>
        <v>AquitainePrunier</v>
      </c>
      <c r="N26" s="289" t="str">
        <f t="shared" si="3"/>
        <v>AquitainePrunierPrunier</v>
      </c>
      <c r="P26" s="242" t="s">
        <v>11</v>
      </c>
      <c r="Q26" s="243" t="s">
        <v>162</v>
      </c>
      <c r="R26" s="243" t="s">
        <v>162</v>
      </c>
      <c r="S26" s="222"/>
      <c r="T26" s="222"/>
      <c r="U26" s="222"/>
      <c r="V26" s="224"/>
    </row>
    <row r="27" spans="2:22" ht="15" thickTop="1" x14ac:dyDescent="0.3">
      <c r="B27" t="str">
        <f t="shared" si="0"/>
        <v>AuvergneAbricotier</v>
      </c>
      <c r="C27" t="str">
        <f t="shared" si="1"/>
        <v>AuvergneAbricotierAbricotier</v>
      </c>
      <c r="E27" s="228" t="s">
        <v>12</v>
      </c>
      <c r="F27" s="229" t="s">
        <v>127</v>
      </c>
      <c r="G27" s="229" t="s">
        <v>127</v>
      </c>
      <c r="H27" s="221">
        <v>0.01</v>
      </c>
      <c r="I27" s="221">
        <v>0.62</v>
      </c>
      <c r="J27" s="221">
        <v>5.1100000000000003</v>
      </c>
      <c r="K27" s="225">
        <v>10.66</v>
      </c>
      <c r="L27" s="196"/>
      <c r="M27" s="289" t="str">
        <f t="shared" si="2"/>
        <v>AuvergneAbricotier</v>
      </c>
      <c r="N27" s="289" t="str">
        <f t="shared" si="3"/>
        <v>AuvergneAbricotierAbricotier</v>
      </c>
      <c r="P27" s="238" t="s">
        <v>12</v>
      </c>
      <c r="Q27" s="239" t="s">
        <v>127</v>
      </c>
      <c r="R27" s="239" t="s">
        <v>127</v>
      </c>
      <c r="S27" s="221"/>
      <c r="T27" s="221"/>
      <c r="U27" s="221"/>
      <c r="V27" s="225"/>
    </row>
    <row r="28" spans="2:22" x14ac:dyDescent="0.3">
      <c r="B28" t="str">
        <f t="shared" si="0"/>
        <v>AuvergneAgrumes</v>
      </c>
      <c r="C28" t="str">
        <f t="shared" si="1"/>
        <v>AuvergneAgrumesClémentinier</v>
      </c>
      <c r="E28" s="230" t="s">
        <v>12</v>
      </c>
      <c r="F28" s="135" t="s">
        <v>634</v>
      </c>
      <c r="G28" s="135" t="s">
        <v>135</v>
      </c>
      <c r="H28" s="220">
        <v>0</v>
      </c>
      <c r="I28" s="220">
        <v>0.3</v>
      </c>
      <c r="J28" s="220">
        <v>2</v>
      </c>
      <c r="K28" s="223">
        <v>5</v>
      </c>
      <c r="L28" s="196"/>
      <c r="M28" s="289" t="str">
        <f t="shared" si="2"/>
        <v>AuvergneAgrumes</v>
      </c>
      <c r="N28" s="289" t="str">
        <f t="shared" si="3"/>
        <v>AuvergneAgrumesClémentinier</v>
      </c>
      <c r="P28" s="240" t="s">
        <v>12</v>
      </c>
      <c r="Q28" s="241" t="s">
        <v>634</v>
      </c>
      <c r="R28" s="241" t="s">
        <v>135</v>
      </c>
      <c r="S28" s="220"/>
      <c r="T28" s="220"/>
      <c r="U28" s="220"/>
      <c r="V28" s="223"/>
    </row>
    <row r="29" spans="2:22" x14ac:dyDescent="0.3">
      <c r="B29" t="str">
        <f t="shared" si="0"/>
        <v>AuvergneAutres</v>
      </c>
      <c r="C29" t="str">
        <f t="shared" si="1"/>
        <v>AuvergneAutresPrunier</v>
      </c>
      <c r="E29" s="230" t="s">
        <v>12</v>
      </c>
      <c r="F29" s="135" t="s">
        <v>170</v>
      </c>
      <c r="G29" s="135" t="s">
        <v>162</v>
      </c>
      <c r="H29" s="220">
        <v>0.01</v>
      </c>
      <c r="I29" s="220">
        <v>0.33</v>
      </c>
      <c r="J29" s="220">
        <v>5.14</v>
      </c>
      <c r="K29" s="223">
        <v>9.34</v>
      </c>
      <c r="L29" s="196"/>
      <c r="M29" s="289" t="str">
        <f t="shared" si="2"/>
        <v>AuvergneAutres</v>
      </c>
      <c r="N29" s="289" t="str">
        <f t="shared" si="3"/>
        <v>AuvergneAutresPrunier</v>
      </c>
      <c r="P29" s="240" t="s">
        <v>12</v>
      </c>
      <c r="Q29" s="241" t="s">
        <v>170</v>
      </c>
      <c r="R29" s="241" t="s">
        <v>162</v>
      </c>
      <c r="S29" s="220"/>
      <c r="T29" s="220"/>
      <c r="U29" s="220"/>
      <c r="V29" s="223"/>
    </row>
    <row r="30" spans="2:22" x14ac:dyDescent="0.3">
      <c r="B30" t="str">
        <f t="shared" si="0"/>
        <v>AuvergneCerisier</v>
      </c>
      <c r="C30" t="str">
        <f t="shared" si="1"/>
        <v>AuvergneCerisierCerisier</v>
      </c>
      <c r="E30" s="230" t="s">
        <v>12</v>
      </c>
      <c r="F30" s="135" t="s">
        <v>132</v>
      </c>
      <c r="G30" s="135" t="s">
        <v>132</v>
      </c>
      <c r="H30" s="220">
        <v>0</v>
      </c>
      <c r="I30" s="220">
        <v>0.36</v>
      </c>
      <c r="J30" s="220">
        <v>4.0599999999999996</v>
      </c>
      <c r="K30" s="223">
        <v>8.0299999999999994</v>
      </c>
      <c r="L30" s="196"/>
      <c r="M30" s="289" t="str">
        <f t="shared" si="2"/>
        <v>AuvergneCerisier</v>
      </c>
      <c r="N30" s="289" t="str">
        <f t="shared" si="3"/>
        <v>AuvergneCerisierCerisier</v>
      </c>
      <c r="P30" s="240" t="s">
        <v>12</v>
      </c>
      <c r="Q30" s="241" t="s">
        <v>132</v>
      </c>
      <c r="R30" s="241" t="s">
        <v>132</v>
      </c>
      <c r="S30" s="220"/>
      <c r="T30" s="220"/>
      <c r="U30" s="220"/>
      <c r="V30" s="223"/>
    </row>
    <row r="31" spans="2:22" x14ac:dyDescent="0.3">
      <c r="B31" t="str">
        <f t="shared" si="0"/>
        <v>AuvergneMirabellier</v>
      </c>
      <c r="C31" t="str">
        <f t="shared" si="1"/>
        <v>AuvergneMirabellierAutres</v>
      </c>
      <c r="E31" s="230" t="s">
        <v>12</v>
      </c>
      <c r="F31" s="135" t="s">
        <v>145</v>
      </c>
      <c r="G31" s="135" t="s">
        <v>170</v>
      </c>
      <c r="H31" s="220">
        <v>0.01</v>
      </c>
      <c r="I31" s="220">
        <v>0.33</v>
      </c>
      <c r="J31" s="220">
        <v>5.14</v>
      </c>
      <c r="K31" s="223">
        <v>9.34</v>
      </c>
      <c r="L31" s="196"/>
      <c r="M31" s="289" t="str">
        <f t="shared" si="2"/>
        <v>AuvergneMirabellier</v>
      </c>
      <c r="N31" s="289" t="str">
        <f t="shared" si="3"/>
        <v>AuvergneMirabellierAutres</v>
      </c>
      <c r="P31" s="240" t="s">
        <v>12</v>
      </c>
      <c r="Q31" s="241" t="s">
        <v>145</v>
      </c>
      <c r="R31" s="241" t="s">
        <v>170</v>
      </c>
      <c r="S31" s="220"/>
      <c r="T31" s="220"/>
      <c r="U31" s="220"/>
      <c r="V31" s="223"/>
    </row>
    <row r="32" spans="2:22" x14ac:dyDescent="0.3">
      <c r="B32" t="str">
        <f t="shared" si="0"/>
        <v>AuvergneNectarinier</v>
      </c>
      <c r="C32" t="str">
        <f t="shared" si="1"/>
        <v>AuvergneNectarinierNectarinier-Pêcher</v>
      </c>
      <c r="E32" s="230" t="s">
        <v>12</v>
      </c>
      <c r="F32" s="135" t="s">
        <v>151</v>
      </c>
      <c r="G32" s="135" t="s">
        <v>635</v>
      </c>
      <c r="H32" s="220">
        <v>0.03</v>
      </c>
      <c r="I32" s="220">
        <v>0.84</v>
      </c>
      <c r="J32" s="220">
        <v>9.25</v>
      </c>
      <c r="K32" s="223">
        <v>19.38</v>
      </c>
      <c r="L32" s="196"/>
      <c r="M32" s="289" t="str">
        <f t="shared" si="2"/>
        <v>AuvergneNectarinier</v>
      </c>
      <c r="N32" s="289" t="str">
        <f t="shared" si="3"/>
        <v>AuvergneNectarinierNectarinier-Pêcher</v>
      </c>
      <c r="P32" s="240" t="s">
        <v>12</v>
      </c>
      <c r="Q32" s="241" t="s">
        <v>151</v>
      </c>
      <c r="R32" s="241" t="s">
        <v>635</v>
      </c>
      <c r="S32" s="220"/>
      <c r="T32" s="220"/>
      <c r="U32" s="220"/>
      <c r="V32" s="223"/>
    </row>
    <row r="33" spans="2:22" x14ac:dyDescent="0.3">
      <c r="B33" t="str">
        <f t="shared" si="0"/>
        <v>AuvergneNoyer</v>
      </c>
      <c r="C33" t="str">
        <f t="shared" si="1"/>
        <v>AuvergneNoyerAutres</v>
      </c>
      <c r="E33" s="230" t="s">
        <v>12</v>
      </c>
      <c r="F33" s="135" t="s">
        <v>154</v>
      </c>
      <c r="G33" s="135" t="s">
        <v>170</v>
      </c>
      <c r="H33" s="220">
        <v>0.01</v>
      </c>
      <c r="I33" s="220">
        <v>0.33</v>
      </c>
      <c r="J33" s="220">
        <v>5.14</v>
      </c>
      <c r="K33" s="223">
        <v>9.34</v>
      </c>
      <c r="L33" s="196"/>
      <c r="M33" s="289" t="str">
        <f t="shared" si="2"/>
        <v>AuvergneNoyer</v>
      </c>
      <c r="N33" s="289" t="str">
        <f t="shared" si="3"/>
        <v>AuvergneNoyerAutres</v>
      </c>
      <c r="P33" s="240" t="s">
        <v>12</v>
      </c>
      <c r="Q33" s="241" t="s">
        <v>154</v>
      </c>
      <c r="R33" s="241" t="s">
        <v>170</v>
      </c>
      <c r="S33" s="220"/>
      <c r="T33" s="220"/>
      <c r="U33" s="220"/>
      <c r="V33" s="223"/>
    </row>
    <row r="34" spans="2:22" x14ac:dyDescent="0.3">
      <c r="B34" t="str">
        <f t="shared" si="0"/>
        <v>AuvergnePêcher</v>
      </c>
      <c r="C34" t="str">
        <f t="shared" si="1"/>
        <v>AuvergnePêcherNectarinier-Pêcher</v>
      </c>
      <c r="E34" s="230" t="s">
        <v>12</v>
      </c>
      <c r="F34" s="135" t="s">
        <v>158</v>
      </c>
      <c r="G34" s="135" t="s">
        <v>635</v>
      </c>
      <c r="H34" s="220">
        <v>0.03</v>
      </c>
      <c r="I34" s="220">
        <v>0.84</v>
      </c>
      <c r="J34" s="220">
        <v>9.25</v>
      </c>
      <c r="K34" s="223">
        <v>19.38</v>
      </c>
      <c r="L34" s="196"/>
      <c r="M34" s="289" t="str">
        <f t="shared" si="2"/>
        <v>AuvergnePêcher</v>
      </c>
      <c r="N34" s="289" t="str">
        <f t="shared" si="3"/>
        <v>AuvergnePêcherNectarinier-Pêcher</v>
      </c>
      <c r="P34" s="240" t="s">
        <v>12</v>
      </c>
      <c r="Q34" s="241" t="s">
        <v>158</v>
      </c>
      <c r="R34" s="241" t="s">
        <v>635</v>
      </c>
      <c r="S34" s="220"/>
      <c r="T34" s="220"/>
      <c r="U34" s="220"/>
      <c r="V34" s="223"/>
    </row>
    <row r="35" spans="2:22" x14ac:dyDescent="0.3">
      <c r="B35" t="str">
        <f t="shared" si="0"/>
        <v>AuvergnePoirier</v>
      </c>
      <c r="C35" t="str">
        <f t="shared" si="1"/>
        <v>AuvergnePoirierAutres</v>
      </c>
      <c r="E35" s="230" t="s">
        <v>12</v>
      </c>
      <c r="F35" s="135" t="s">
        <v>159</v>
      </c>
      <c r="G35" s="135" t="s">
        <v>170</v>
      </c>
      <c r="H35" s="220">
        <v>0.01</v>
      </c>
      <c r="I35" s="220">
        <v>0.33</v>
      </c>
      <c r="J35" s="220">
        <v>5.14</v>
      </c>
      <c r="K35" s="223">
        <v>9.34</v>
      </c>
      <c r="L35" s="196"/>
      <c r="M35" s="289" t="str">
        <f t="shared" si="2"/>
        <v>AuvergnePoirier</v>
      </c>
      <c r="N35" s="289" t="str">
        <f t="shared" si="3"/>
        <v>AuvergnePoirierAutres</v>
      </c>
      <c r="P35" s="240" t="s">
        <v>12</v>
      </c>
      <c r="Q35" s="241" t="s">
        <v>159</v>
      </c>
      <c r="R35" s="241" t="s">
        <v>170</v>
      </c>
      <c r="S35" s="220"/>
      <c r="T35" s="220"/>
      <c r="U35" s="220"/>
      <c r="V35" s="223"/>
    </row>
    <row r="36" spans="2:22" x14ac:dyDescent="0.3">
      <c r="B36" t="str">
        <f t="shared" si="0"/>
        <v>AuvergnePommier</v>
      </c>
      <c r="C36" t="str">
        <f t="shared" si="1"/>
        <v>AuvergnePommierPommier</v>
      </c>
      <c r="E36" s="230" t="s">
        <v>12</v>
      </c>
      <c r="F36" s="135" t="s">
        <v>161</v>
      </c>
      <c r="G36" s="135" t="s">
        <v>161</v>
      </c>
      <c r="H36" s="220">
        <v>0.03</v>
      </c>
      <c r="I36" s="220">
        <v>0.84</v>
      </c>
      <c r="J36" s="220">
        <v>9.25</v>
      </c>
      <c r="K36" s="223">
        <v>19.38</v>
      </c>
      <c r="L36" s="196"/>
      <c r="M36" s="289" t="str">
        <f t="shared" si="2"/>
        <v>AuvergnePommier</v>
      </c>
      <c r="N36" s="289" t="str">
        <f t="shared" si="3"/>
        <v>AuvergnePommierPommier</v>
      </c>
      <c r="P36" s="240" t="s">
        <v>12</v>
      </c>
      <c r="Q36" s="241" t="s">
        <v>161</v>
      </c>
      <c r="R36" s="241" t="s">
        <v>161</v>
      </c>
      <c r="S36" s="220"/>
      <c r="T36" s="220"/>
      <c r="U36" s="220"/>
      <c r="V36" s="223"/>
    </row>
    <row r="37" spans="2:22" ht="15" thickBot="1" x14ac:dyDescent="0.35">
      <c r="B37" t="str">
        <f t="shared" si="0"/>
        <v>AuvergnePrunier</v>
      </c>
      <c r="C37" t="str">
        <f t="shared" si="1"/>
        <v>AuvergnePrunierAutres</v>
      </c>
      <c r="E37" s="231" t="s">
        <v>12</v>
      </c>
      <c r="F37" s="232" t="s">
        <v>162</v>
      </c>
      <c r="G37" s="232" t="s">
        <v>170</v>
      </c>
      <c r="H37" s="222">
        <v>0.01</v>
      </c>
      <c r="I37" s="222">
        <v>0.33</v>
      </c>
      <c r="J37" s="222">
        <v>5.14</v>
      </c>
      <c r="K37" s="224">
        <v>9.34</v>
      </c>
      <c r="L37" s="196"/>
      <c r="M37" s="289" t="str">
        <f t="shared" si="2"/>
        <v>AuvergnePrunier</v>
      </c>
      <c r="N37" s="289" t="str">
        <f t="shared" si="3"/>
        <v>AuvergnePrunierAutres</v>
      </c>
      <c r="P37" s="242" t="s">
        <v>12</v>
      </c>
      <c r="Q37" s="243" t="s">
        <v>162</v>
      </c>
      <c r="R37" s="243" t="s">
        <v>170</v>
      </c>
      <c r="S37" s="222"/>
      <c r="T37" s="222"/>
      <c r="U37" s="222"/>
      <c r="V37" s="224"/>
    </row>
    <row r="38" spans="2:22" ht="15" thickTop="1" x14ac:dyDescent="0.3">
      <c r="B38" t="str">
        <f t="shared" si="0"/>
        <v>Basse-NormandieAbricotier</v>
      </c>
      <c r="C38" t="str">
        <f t="shared" si="1"/>
        <v>Basse-NormandieAbricotierAbricotier</v>
      </c>
      <c r="E38" s="228" t="s">
        <v>13</v>
      </c>
      <c r="F38" s="229" t="s">
        <v>127</v>
      </c>
      <c r="G38" s="229" t="s">
        <v>127</v>
      </c>
      <c r="H38" s="221">
        <v>0.01</v>
      </c>
      <c r="I38" s="221">
        <v>0.62</v>
      </c>
      <c r="J38" s="221">
        <v>5.1100000000000003</v>
      </c>
      <c r="K38" s="225">
        <v>10.66</v>
      </c>
      <c r="L38" s="196"/>
      <c r="M38" s="289" t="str">
        <f t="shared" si="2"/>
        <v>Basse-NormandieAbricotier</v>
      </c>
      <c r="N38" s="289" t="str">
        <f t="shared" si="3"/>
        <v>Basse-NormandieAbricotierAbricotier</v>
      </c>
      <c r="P38" s="238" t="s">
        <v>13</v>
      </c>
      <c r="Q38" s="239" t="s">
        <v>127</v>
      </c>
      <c r="R38" s="239" t="s">
        <v>127</v>
      </c>
      <c r="S38" s="221"/>
      <c r="T38" s="221"/>
      <c r="U38" s="221"/>
      <c r="V38" s="225"/>
    </row>
    <row r="39" spans="2:22" x14ac:dyDescent="0.3">
      <c r="B39" t="str">
        <f t="shared" si="0"/>
        <v>Basse-NormandieAgrumes</v>
      </c>
      <c r="C39" t="str">
        <f t="shared" si="1"/>
        <v>Basse-NormandieAgrumesClémentinier</v>
      </c>
      <c r="E39" s="230" t="s">
        <v>13</v>
      </c>
      <c r="F39" s="135" t="s">
        <v>634</v>
      </c>
      <c r="G39" s="135" t="s">
        <v>135</v>
      </c>
      <c r="H39" s="220">
        <v>0</v>
      </c>
      <c r="I39" s="220">
        <v>0.3</v>
      </c>
      <c r="J39" s="220">
        <v>2</v>
      </c>
      <c r="K39" s="223">
        <v>5</v>
      </c>
      <c r="L39" s="196"/>
      <c r="M39" s="289" t="str">
        <f t="shared" si="2"/>
        <v>Basse-NormandieAgrumes</v>
      </c>
      <c r="N39" s="289" t="str">
        <f t="shared" si="3"/>
        <v>Basse-NormandieAgrumesClémentinier</v>
      </c>
      <c r="P39" s="240" t="s">
        <v>13</v>
      </c>
      <c r="Q39" s="241" t="s">
        <v>634</v>
      </c>
      <c r="R39" s="241" t="s">
        <v>135</v>
      </c>
      <c r="S39" s="220"/>
      <c r="T39" s="220"/>
      <c r="U39" s="220"/>
      <c r="V39" s="223"/>
    </row>
    <row r="40" spans="2:22" x14ac:dyDescent="0.3">
      <c r="B40" t="str">
        <f t="shared" si="0"/>
        <v>Basse-NormandieAutres</v>
      </c>
      <c r="C40" t="str">
        <f t="shared" si="1"/>
        <v>Basse-NormandieAutresPrunier</v>
      </c>
      <c r="E40" s="230" t="s">
        <v>13</v>
      </c>
      <c r="F40" s="135" t="s">
        <v>170</v>
      </c>
      <c r="G40" s="135" t="s">
        <v>162</v>
      </c>
      <c r="H40" s="220">
        <v>0.01</v>
      </c>
      <c r="I40" s="220">
        <v>0.33</v>
      </c>
      <c r="J40" s="220">
        <v>5.14</v>
      </c>
      <c r="K40" s="223">
        <v>9.34</v>
      </c>
      <c r="L40" s="196"/>
      <c r="M40" s="289" t="str">
        <f t="shared" si="2"/>
        <v>Basse-NormandieAutres</v>
      </c>
      <c r="N40" s="289" t="str">
        <f t="shared" si="3"/>
        <v>Basse-NormandieAutresPrunier</v>
      </c>
      <c r="P40" s="240" t="s">
        <v>13</v>
      </c>
      <c r="Q40" s="241" t="s">
        <v>170</v>
      </c>
      <c r="R40" s="241" t="s">
        <v>162</v>
      </c>
      <c r="S40" s="220"/>
      <c r="T40" s="220"/>
      <c r="U40" s="220"/>
      <c r="V40" s="223"/>
    </row>
    <row r="41" spans="2:22" x14ac:dyDescent="0.3">
      <c r="B41" t="str">
        <f t="shared" si="0"/>
        <v>Basse-NormandieCerisier</v>
      </c>
      <c r="C41" t="str">
        <f t="shared" si="1"/>
        <v>Basse-NormandieCerisierCerisier</v>
      </c>
      <c r="E41" s="230" t="s">
        <v>13</v>
      </c>
      <c r="F41" s="135" t="s">
        <v>132</v>
      </c>
      <c r="G41" s="135" t="s">
        <v>132</v>
      </c>
      <c r="H41" s="220">
        <v>0</v>
      </c>
      <c r="I41" s="220">
        <v>0.36</v>
      </c>
      <c r="J41" s="220">
        <v>4.0599999999999996</v>
      </c>
      <c r="K41" s="223">
        <v>8.0299999999999994</v>
      </c>
      <c r="L41" s="196"/>
      <c r="M41" s="289" t="str">
        <f t="shared" si="2"/>
        <v>Basse-NormandieCerisier</v>
      </c>
      <c r="N41" s="289" t="str">
        <f t="shared" si="3"/>
        <v>Basse-NormandieCerisierCerisier</v>
      </c>
      <c r="P41" s="240" t="s">
        <v>13</v>
      </c>
      <c r="Q41" s="241" t="s">
        <v>132</v>
      </c>
      <c r="R41" s="241" t="s">
        <v>132</v>
      </c>
      <c r="S41" s="220"/>
      <c r="T41" s="220"/>
      <c r="U41" s="220"/>
      <c r="V41" s="223"/>
    </row>
    <row r="42" spans="2:22" x14ac:dyDescent="0.3">
      <c r="B42" t="str">
        <f t="shared" si="0"/>
        <v>Basse-NormandieMirabellier</v>
      </c>
      <c r="C42" t="str">
        <f t="shared" si="1"/>
        <v>Basse-NormandieMirabellierAutres</v>
      </c>
      <c r="E42" s="230" t="s">
        <v>13</v>
      </c>
      <c r="F42" s="135" t="s">
        <v>145</v>
      </c>
      <c r="G42" s="135" t="s">
        <v>170</v>
      </c>
      <c r="H42" s="220">
        <v>0.01</v>
      </c>
      <c r="I42" s="220">
        <v>0.33</v>
      </c>
      <c r="J42" s="220">
        <v>5.14</v>
      </c>
      <c r="K42" s="223">
        <v>9.34</v>
      </c>
      <c r="L42" s="196"/>
      <c r="M42" s="289" t="str">
        <f t="shared" si="2"/>
        <v>Basse-NormandieMirabellier</v>
      </c>
      <c r="N42" s="289" t="str">
        <f t="shared" si="3"/>
        <v>Basse-NormandieMirabellierAutres</v>
      </c>
      <c r="P42" s="240" t="s">
        <v>13</v>
      </c>
      <c r="Q42" s="241" t="s">
        <v>145</v>
      </c>
      <c r="R42" s="241" t="s">
        <v>170</v>
      </c>
      <c r="S42" s="220"/>
      <c r="T42" s="220"/>
      <c r="U42" s="220"/>
      <c r="V42" s="223"/>
    </row>
    <row r="43" spans="2:22" x14ac:dyDescent="0.3">
      <c r="B43" t="str">
        <f t="shared" si="0"/>
        <v>Basse-NormandieNectarinier</v>
      </c>
      <c r="C43" t="str">
        <f t="shared" si="1"/>
        <v>Basse-NormandieNectarinierNectarinier-Pêcher</v>
      </c>
      <c r="E43" s="230" t="s">
        <v>13</v>
      </c>
      <c r="F43" s="135" t="s">
        <v>151</v>
      </c>
      <c r="G43" s="135" t="s">
        <v>635</v>
      </c>
      <c r="H43" s="220">
        <v>0.03</v>
      </c>
      <c r="I43" s="220">
        <v>0.84</v>
      </c>
      <c r="J43" s="220">
        <v>9.25</v>
      </c>
      <c r="K43" s="223">
        <v>19.38</v>
      </c>
      <c r="L43" s="196"/>
      <c r="M43" s="289" t="str">
        <f t="shared" si="2"/>
        <v>Basse-NormandieNectarinier</v>
      </c>
      <c r="N43" s="289" t="str">
        <f t="shared" si="3"/>
        <v>Basse-NormandieNectarinierNectarinier-Pêcher</v>
      </c>
      <c r="P43" s="240" t="s">
        <v>13</v>
      </c>
      <c r="Q43" s="241" t="s">
        <v>151</v>
      </c>
      <c r="R43" s="241" t="s">
        <v>635</v>
      </c>
      <c r="S43" s="220"/>
      <c r="T43" s="220"/>
      <c r="U43" s="220"/>
      <c r="V43" s="223"/>
    </row>
    <row r="44" spans="2:22" x14ac:dyDescent="0.3">
      <c r="B44" t="str">
        <f t="shared" si="0"/>
        <v>Basse-NormandieNoyer</v>
      </c>
      <c r="C44" t="str">
        <f t="shared" si="1"/>
        <v>Basse-NormandieNoyerAutres</v>
      </c>
      <c r="E44" s="230" t="s">
        <v>13</v>
      </c>
      <c r="F44" s="135" t="s">
        <v>154</v>
      </c>
      <c r="G44" s="135" t="s">
        <v>170</v>
      </c>
      <c r="H44" s="220">
        <v>0.01</v>
      </c>
      <c r="I44" s="220">
        <v>0.33</v>
      </c>
      <c r="J44" s="220">
        <v>5.14</v>
      </c>
      <c r="K44" s="223">
        <v>9.34</v>
      </c>
      <c r="L44" s="196"/>
      <c r="M44" s="289" t="str">
        <f t="shared" si="2"/>
        <v>Basse-NormandieNoyer</v>
      </c>
      <c r="N44" s="289" t="str">
        <f t="shared" si="3"/>
        <v>Basse-NormandieNoyerAutres</v>
      </c>
      <c r="P44" s="240" t="s">
        <v>13</v>
      </c>
      <c r="Q44" s="241" t="s">
        <v>154</v>
      </c>
      <c r="R44" s="241" t="s">
        <v>170</v>
      </c>
      <c r="S44" s="220"/>
      <c r="T44" s="220"/>
      <c r="U44" s="220"/>
      <c r="V44" s="223"/>
    </row>
    <row r="45" spans="2:22" x14ac:dyDescent="0.3">
      <c r="B45" t="str">
        <f t="shared" si="0"/>
        <v>Basse-NormandiePêcher</v>
      </c>
      <c r="C45" t="str">
        <f t="shared" si="1"/>
        <v>Basse-NormandiePêcherNectarinier-Pêcher</v>
      </c>
      <c r="E45" s="230" t="s">
        <v>13</v>
      </c>
      <c r="F45" s="135" t="s">
        <v>158</v>
      </c>
      <c r="G45" s="135" t="s">
        <v>635</v>
      </c>
      <c r="H45" s="220">
        <v>0.03</v>
      </c>
      <c r="I45" s="220">
        <v>0.84</v>
      </c>
      <c r="J45" s="220">
        <v>9.25</v>
      </c>
      <c r="K45" s="223">
        <v>19.38</v>
      </c>
      <c r="L45" s="196"/>
      <c r="M45" s="289" t="str">
        <f t="shared" si="2"/>
        <v>Basse-NormandiePêcher</v>
      </c>
      <c r="N45" s="289" t="str">
        <f t="shared" si="3"/>
        <v>Basse-NormandiePêcherNectarinier-Pêcher</v>
      </c>
      <c r="P45" s="240" t="s">
        <v>13</v>
      </c>
      <c r="Q45" s="241" t="s">
        <v>158</v>
      </c>
      <c r="R45" s="241" t="s">
        <v>635</v>
      </c>
      <c r="S45" s="220"/>
      <c r="T45" s="220"/>
      <c r="U45" s="220"/>
      <c r="V45" s="223"/>
    </row>
    <row r="46" spans="2:22" x14ac:dyDescent="0.3">
      <c r="B46" t="str">
        <f t="shared" si="0"/>
        <v>Basse-NormandiePoirier</v>
      </c>
      <c r="C46" t="str">
        <f t="shared" si="1"/>
        <v>Basse-NormandiePoirierAutres</v>
      </c>
      <c r="E46" s="230" t="s">
        <v>13</v>
      </c>
      <c r="F46" s="135" t="s">
        <v>159</v>
      </c>
      <c r="G46" s="135" t="s">
        <v>170</v>
      </c>
      <c r="H46" s="220">
        <v>0.01</v>
      </c>
      <c r="I46" s="220">
        <v>0.33</v>
      </c>
      <c r="J46" s="220">
        <v>5.14</v>
      </c>
      <c r="K46" s="223">
        <v>9.34</v>
      </c>
      <c r="L46" s="196"/>
      <c r="M46" s="289" t="str">
        <f t="shared" si="2"/>
        <v>Basse-NormandiePoirier</v>
      </c>
      <c r="N46" s="289" t="str">
        <f t="shared" si="3"/>
        <v>Basse-NormandiePoirierAutres</v>
      </c>
      <c r="P46" s="240" t="s">
        <v>13</v>
      </c>
      <c r="Q46" s="241" t="s">
        <v>159</v>
      </c>
      <c r="R46" s="241" t="s">
        <v>170</v>
      </c>
      <c r="S46" s="220"/>
      <c r="T46" s="220"/>
      <c r="U46" s="220"/>
      <c r="V46" s="223"/>
    </row>
    <row r="47" spans="2:22" x14ac:dyDescent="0.3">
      <c r="B47" t="str">
        <f t="shared" si="0"/>
        <v>Basse-NormandiePommier</v>
      </c>
      <c r="C47" t="str">
        <f t="shared" si="1"/>
        <v>Basse-NormandiePommierPommier</v>
      </c>
      <c r="E47" s="230" t="s">
        <v>13</v>
      </c>
      <c r="F47" s="135" t="s">
        <v>161</v>
      </c>
      <c r="G47" s="135" t="s">
        <v>161</v>
      </c>
      <c r="H47" s="220">
        <v>0.03</v>
      </c>
      <c r="I47" s="220">
        <v>0.84</v>
      </c>
      <c r="J47" s="220">
        <v>9.25</v>
      </c>
      <c r="K47" s="223">
        <v>19.38</v>
      </c>
      <c r="L47" s="196"/>
      <c r="M47" s="289" t="str">
        <f t="shared" si="2"/>
        <v>Basse-NormandiePommier</v>
      </c>
      <c r="N47" s="289" t="str">
        <f t="shared" si="3"/>
        <v>Basse-NormandiePommierPommier</v>
      </c>
      <c r="P47" s="240" t="s">
        <v>13</v>
      </c>
      <c r="Q47" s="241" t="s">
        <v>161</v>
      </c>
      <c r="R47" s="241" t="s">
        <v>161</v>
      </c>
      <c r="S47" s="220"/>
      <c r="T47" s="220"/>
      <c r="U47" s="220"/>
      <c r="V47" s="223"/>
    </row>
    <row r="48" spans="2:22" ht="15" thickBot="1" x14ac:dyDescent="0.35">
      <c r="B48" t="str">
        <f t="shared" si="0"/>
        <v>Basse-NormandiePrunier</v>
      </c>
      <c r="C48" t="str">
        <f t="shared" si="1"/>
        <v>Basse-NormandiePrunierAutres</v>
      </c>
      <c r="E48" s="231" t="s">
        <v>13</v>
      </c>
      <c r="F48" s="232" t="s">
        <v>162</v>
      </c>
      <c r="G48" s="232" t="s">
        <v>170</v>
      </c>
      <c r="H48" s="222">
        <v>0.01</v>
      </c>
      <c r="I48" s="222">
        <v>0.33</v>
      </c>
      <c r="J48" s="222">
        <v>5.14</v>
      </c>
      <c r="K48" s="224">
        <v>9.34</v>
      </c>
      <c r="L48" s="196"/>
      <c r="M48" s="289" t="str">
        <f t="shared" si="2"/>
        <v>Basse-NormandiePrunier</v>
      </c>
      <c r="N48" s="289" t="str">
        <f t="shared" si="3"/>
        <v>Basse-NormandiePrunierAutres</v>
      </c>
      <c r="P48" s="242" t="s">
        <v>13</v>
      </c>
      <c r="Q48" s="243" t="s">
        <v>162</v>
      </c>
      <c r="R48" s="243" t="s">
        <v>170</v>
      </c>
      <c r="S48" s="222"/>
      <c r="T48" s="222"/>
      <c r="U48" s="222"/>
      <c r="V48" s="224"/>
    </row>
    <row r="49" spans="2:22" ht="15" thickTop="1" x14ac:dyDescent="0.3">
      <c r="B49" t="str">
        <f t="shared" si="0"/>
        <v>BourgogneAbricotier</v>
      </c>
      <c r="C49" t="str">
        <f t="shared" si="1"/>
        <v>BourgogneAbricotierAbricotier</v>
      </c>
      <c r="E49" s="228" t="s">
        <v>14</v>
      </c>
      <c r="F49" s="229" t="s">
        <v>127</v>
      </c>
      <c r="G49" s="229" t="s">
        <v>127</v>
      </c>
      <c r="H49" s="221">
        <v>0.01</v>
      </c>
      <c r="I49" s="221">
        <v>0.62</v>
      </c>
      <c r="J49" s="221">
        <v>5.1100000000000003</v>
      </c>
      <c r="K49" s="225">
        <v>10.66</v>
      </c>
      <c r="L49" s="196"/>
      <c r="M49" s="289" t="str">
        <f t="shared" si="2"/>
        <v>BourgogneAbricotier</v>
      </c>
      <c r="N49" s="289" t="str">
        <f t="shared" si="3"/>
        <v>BourgogneAbricotierAbricotier</v>
      </c>
      <c r="P49" s="238" t="s">
        <v>14</v>
      </c>
      <c r="Q49" s="239" t="s">
        <v>127</v>
      </c>
      <c r="R49" s="239" t="s">
        <v>127</v>
      </c>
      <c r="S49" s="221"/>
      <c r="T49" s="221"/>
      <c r="U49" s="221"/>
      <c r="V49" s="225"/>
    </row>
    <row r="50" spans="2:22" x14ac:dyDescent="0.3">
      <c r="B50" t="str">
        <f t="shared" si="0"/>
        <v>BourgogneAgrumes</v>
      </c>
      <c r="C50" t="str">
        <f t="shared" si="1"/>
        <v>BourgogneAgrumesClémentinier</v>
      </c>
      <c r="E50" s="230" t="s">
        <v>14</v>
      </c>
      <c r="F50" s="135" t="s">
        <v>634</v>
      </c>
      <c r="G50" s="135" t="s">
        <v>135</v>
      </c>
      <c r="H50" s="220">
        <v>0</v>
      </c>
      <c r="I50" s="220">
        <v>0.3</v>
      </c>
      <c r="J50" s="220">
        <v>2</v>
      </c>
      <c r="K50" s="223">
        <v>5</v>
      </c>
      <c r="L50" s="196"/>
      <c r="M50" s="289" t="str">
        <f t="shared" si="2"/>
        <v>BourgogneAgrumes</v>
      </c>
      <c r="N50" s="289" t="str">
        <f t="shared" si="3"/>
        <v>BourgogneAgrumesClémentinier</v>
      </c>
      <c r="P50" s="240" t="s">
        <v>14</v>
      </c>
      <c r="Q50" s="241" t="s">
        <v>634</v>
      </c>
      <c r="R50" s="241" t="s">
        <v>135</v>
      </c>
      <c r="S50" s="220"/>
      <c r="T50" s="220"/>
      <c r="U50" s="220"/>
      <c r="V50" s="223"/>
    </row>
    <row r="51" spans="2:22" x14ac:dyDescent="0.3">
      <c r="B51" t="str">
        <f t="shared" si="0"/>
        <v>BourgogneAutres</v>
      </c>
      <c r="C51" t="str">
        <f t="shared" si="1"/>
        <v>BourgogneAutresPrunier</v>
      </c>
      <c r="E51" s="230" t="s">
        <v>14</v>
      </c>
      <c r="F51" s="135" t="s">
        <v>170</v>
      </c>
      <c r="G51" s="135" t="s">
        <v>162</v>
      </c>
      <c r="H51" s="220">
        <v>0.01</v>
      </c>
      <c r="I51" s="220">
        <v>0.33</v>
      </c>
      <c r="J51" s="220">
        <v>5.14</v>
      </c>
      <c r="K51" s="223">
        <v>9.34</v>
      </c>
      <c r="L51" s="196"/>
      <c r="M51" s="289" t="str">
        <f t="shared" si="2"/>
        <v>BourgogneAutres</v>
      </c>
      <c r="N51" s="289" t="str">
        <f t="shared" si="3"/>
        <v>BourgogneAutresPrunier</v>
      </c>
      <c r="P51" s="240" t="s">
        <v>14</v>
      </c>
      <c r="Q51" s="241" t="s">
        <v>170</v>
      </c>
      <c r="R51" s="241" t="s">
        <v>162</v>
      </c>
      <c r="S51" s="220"/>
      <c r="T51" s="220"/>
      <c r="U51" s="220"/>
      <c r="V51" s="223"/>
    </row>
    <row r="52" spans="2:22" x14ac:dyDescent="0.3">
      <c r="B52" t="str">
        <f t="shared" si="0"/>
        <v>BourgogneCerisier</v>
      </c>
      <c r="C52" t="str">
        <f t="shared" si="1"/>
        <v>BourgogneCerisierCerisier</v>
      </c>
      <c r="E52" s="230" t="s">
        <v>14</v>
      </c>
      <c r="F52" s="135" t="s">
        <v>132</v>
      </c>
      <c r="G52" s="135" t="s">
        <v>132</v>
      </c>
      <c r="H52" s="220">
        <v>0</v>
      </c>
      <c r="I52" s="220">
        <v>0.26</v>
      </c>
      <c r="J52" s="220">
        <v>3.48</v>
      </c>
      <c r="K52" s="223">
        <v>6.6</v>
      </c>
      <c r="L52" s="196"/>
      <c r="M52" s="289" t="str">
        <f t="shared" si="2"/>
        <v>BourgogneCerisier</v>
      </c>
      <c r="N52" s="289" t="str">
        <f t="shared" si="3"/>
        <v>BourgogneCerisierCerisier</v>
      </c>
      <c r="P52" s="240" t="s">
        <v>14</v>
      </c>
      <c r="Q52" s="241" t="s">
        <v>132</v>
      </c>
      <c r="R52" s="241" t="s">
        <v>132</v>
      </c>
      <c r="S52" s="220"/>
      <c r="T52" s="220"/>
      <c r="U52" s="220"/>
      <c r="V52" s="223"/>
    </row>
    <row r="53" spans="2:22" x14ac:dyDescent="0.3">
      <c r="B53" t="str">
        <f t="shared" si="0"/>
        <v>BourgogneMirabellier</v>
      </c>
      <c r="C53" t="str">
        <f t="shared" si="1"/>
        <v>BourgogneMirabellierAutres</v>
      </c>
      <c r="E53" s="230" t="s">
        <v>14</v>
      </c>
      <c r="F53" s="135" t="s">
        <v>145</v>
      </c>
      <c r="G53" s="135" t="s">
        <v>170</v>
      </c>
      <c r="H53" s="220">
        <v>0.01</v>
      </c>
      <c r="I53" s="220">
        <v>0.33</v>
      </c>
      <c r="J53" s="220">
        <v>5.14</v>
      </c>
      <c r="K53" s="223">
        <v>9.34</v>
      </c>
      <c r="L53" s="196"/>
      <c r="M53" s="289" t="str">
        <f t="shared" si="2"/>
        <v>BourgogneMirabellier</v>
      </c>
      <c r="N53" s="289" t="str">
        <f t="shared" si="3"/>
        <v>BourgogneMirabellierAutres</v>
      </c>
      <c r="P53" s="240" t="s">
        <v>14</v>
      </c>
      <c r="Q53" s="241" t="s">
        <v>145</v>
      </c>
      <c r="R53" s="241" t="s">
        <v>170</v>
      </c>
      <c r="S53" s="220"/>
      <c r="T53" s="220"/>
      <c r="U53" s="220"/>
      <c r="V53" s="223"/>
    </row>
    <row r="54" spans="2:22" x14ac:dyDescent="0.3">
      <c r="B54" t="str">
        <f t="shared" si="0"/>
        <v>BourgogneNectarinier</v>
      </c>
      <c r="C54" t="str">
        <f t="shared" si="1"/>
        <v>BourgogneNectarinierNectarinier-Pêcher</v>
      </c>
      <c r="E54" s="230" t="s">
        <v>14</v>
      </c>
      <c r="F54" s="135" t="s">
        <v>151</v>
      </c>
      <c r="G54" s="135" t="s">
        <v>635</v>
      </c>
      <c r="H54" s="220">
        <v>0.03</v>
      </c>
      <c r="I54" s="220">
        <v>0.84</v>
      </c>
      <c r="J54" s="220">
        <v>9.25</v>
      </c>
      <c r="K54" s="223">
        <v>19.38</v>
      </c>
      <c r="L54" s="196"/>
      <c r="M54" s="289" t="str">
        <f t="shared" si="2"/>
        <v>BourgogneNectarinier</v>
      </c>
      <c r="N54" s="289" t="str">
        <f t="shared" si="3"/>
        <v>BourgogneNectarinierNectarinier-Pêcher</v>
      </c>
      <c r="P54" s="240" t="s">
        <v>14</v>
      </c>
      <c r="Q54" s="241" t="s">
        <v>151</v>
      </c>
      <c r="R54" s="241" t="s">
        <v>635</v>
      </c>
      <c r="S54" s="220"/>
      <c r="T54" s="220"/>
      <c r="U54" s="220"/>
      <c r="V54" s="223"/>
    </row>
    <row r="55" spans="2:22" x14ac:dyDescent="0.3">
      <c r="B55" t="str">
        <f t="shared" si="0"/>
        <v>BourgogneNoyer</v>
      </c>
      <c r="C55" t="str">
        <f t="shared" si="1"/>
        <v>BourgogneNoyerAutres</v>
      </c>
      <c r="E55" s="230" t="s">
        <v>14</v>
      </c>
      <c r="F55" s="135" t="s">
        <v>154</v>
      </c>
      <c r="G55" s="135" t="s">
        <v>170</v>
      </c>
      <c r="H55" s="220">
        <v>0.01</v>
      </c>
      <c r="I55" s="220">
        <v>0.33</v>
      </c>
      <c r="J55" s="220">
        <v>5.14</v>
      </c>
      <c r="K55" s="223">
        <v>9.34</v>
      </c>
      <c r="L55" s="196"/>
      <c r="M55" s="289" t="str">
        <f t="shared" si="2"/>
        <v>BourgogneNoyer</v>
      </c>
      <c r="N55" s="289" t="str">
        <f t="shared" si="3"/>
        <v>BourgogneNoyerAutres</v>
      </c>
      <c r="P55" s="240" t="s">
        <v>14</v>
      </c>
      <c r="Q55" s="241" t="s">
        <v>154</v>
      </c>
      <c r="R55" s="241" t="s">
        <v>170</v>
      </c>
      <c r="S55" s="220"/>
      <c r="T55" s="220"/>
      <c r="U55" s="220"/>
      <c r="V55" s="223"/>
    </row>
    <row r="56" spans="2:22" x14ac:dyDescent="0.3">
      <c r="B56" t="str">
        <f t="shared" si="0"/>
        <v>BourgognePêcher</v>
      </c>
      <c r="C56" t="str">
        <f t="shared" si="1"/>
        <v>BourgognePêcherNectarinier-Pêcher</v>
      </c>
      <c r="E56" s="230" t="s">
        <v>14</v>
      </c>
      <c r="F56" s="135" t="s">
        <v>158</v>
      </c>
      <c r="G56" s="135" t="s">
        <v>635</v>
      </c>
      <c r="H56" s="220">
        <v>0.03</v>
      </c>
      <c r="I56" s="220">
        <v>0.84</v>
      </c>
      <c r="J56" s="220">
        <v>9.25</v>
      </c>
      <c r="K56" s="223">
        <v>19.38</v>
      </c>
      <c r="L56" s="196"/>
      <c r="M56" s="289" t="str">
        <f t="shared" si="2"/>
        <v>BourgognePêcher</v>
      </c>
      <c r="N56" s="289" t="str">
        <f t="shared" si="3"/>
        <v>BourgognePêcherNectarinier-Pêcher</v>
      </c>
      <c r="P56" s="240" t="s">
        <v>14</v>
      </c>
      <c r="Q56" s="241" t="s">
        <v>158</v>
      </c>
      <c r="R56" s="241" t="s">
        <v>635</v>
      </c>
      <c r="S56" s="220"/>
      <c r="T56" s="220"/>
      <c r="U56" s="220"/>
      <c r="V56" s="223"/>
    </row>
    <row r="57" spans="2:22" x14ac:dyDescent="0.3">
      <c r="B57" t="str">
        <f t="shared" si="0"/>
        <v>BourgognePoirier</v>
      </c>
      <c r="C57" t="str">
        <f t="shared" si="1"/>
        <v>BourgognePoirierAutres</v>
      </c>
      <c r="E57" s="230" t="s">
        <v>14</v>
      </c>
      <c r="F57" s="135" t="s">
        <v>159</v>
      </c>
      <c r="G57" s="135" t="s">
        <v>170</v>
      </c>
      <c r="H57" s="220">
        <v>0.01</v>
      </c>
      <c r="I57" s="220">
        <v>0.33</v>
      </c>
      <c r="J57" s="220">
        <v>5.14</v>
      </c>
      <c r="K57" s="223">
        <v>9.34</v>
      </c>
      <c r="L57" s="196"/>
      <c r="M57" s="289" t="str">
        <f t="shared" si="2"/>
        <v>BourgognePoirier</v>
      </c>
      <c r="N57" s="289" t="str">
        <f t="shared" si="3"/>
        <v>BourgognePoirierAutres</v>
      </c>
      <c r="P57" s="240" t="s">
        <v>14</v>
      </c>
      <c r="Q57" s="241" t="s">
        <v>159</v>
      </c>
      <c r="R57" s="241" t="s">
        <v>170</v>
      </c>
      <c r="S57" s="220"/>
      <c r="T57" s="220"/>
      <c r="U57" s="220"/>
      <c r="V57" s="223"/>
    </row>
    <row r="58" spans="2:22" x14ac:dyDescent="0.3">
      <c r="B58" t="str">
        <f t="shared" si="0"/>
        <v>BourgognePommier</v>
      </c>
      <c r="C58" t="str">
        <f t="shared" si="1"/>
        <v>BourgognePommierPommier</v>
      </c>
      <c r="E58" s="230" t="s">
        <v>14</v>
      </c>
      <c r="F58" s="135" t="s">
        <v>161</v>
      </c>
      <c r="G58" s="135" t="s">
        <v>161</v>
      </c>
      <c r="H58" s="220">
        <v>0.03</v>
      </c>
      <c r="I58" s="220">
        <v>0.84</v>
      </c>
      <c r="J58" s="220">
        <v>9.25</v>
      </c>
      <c r="K58" s="223">
        <v>19.38</v>
      </c>
      <c r="L58" s="196"/>
      <c r="M58" s="289" t="str">
        <f t="shared" si="2"/>
        <v>BourgognePommier</v>
      </c>
      <c r="N58" s="289" t="str">
        <f t="shared" si="3"/>
        <v>BourgognePommierPommier</v>
      </c>
      <c r="P58" s="240" t="s">
        <v>14</v>
      </c>
      <c r="Q58" s="241" t="s">
        <v>161</v>
      </c>
      <c r="R58" s="241" t="s">
        <v>161</v>
      </c>
      <c r="S58" s="220"/>
      <c r="T58" s="220"/>
      <c r="U58" s="220"/>
      <c r="V58" s="223"/>
    </row>
    <row r="59" spans="2:22" ht="15" thickBot="1" x14ac:dyDescent="0.35">
      <c r="B59" t="str">
        <f t="shared" si="0"/>
        <v>BourgognePrunier</v>
      </c>
      <c r="C59" t="str">
        <f t="shared" si="1"/>
        <v>BourgognePrunierAutres</v>
      </c>
      <c r="E59" s="231" t="s">
        <v>14</v>
      </c>
      <c r="F59" s="232" t="s">
        <v>162</v>
      </c>
      <c r="G59" s="232" t="s">
        <v>170</v>
      </c>
      <c r="H59" s="222">
        <v>0.01</v>
      </c>
      <c r="I59" s="222">
        <v>0.33</v>
      </c>
      <c r="J59" s="222">
        <v>5.14</v>
      </c>
      <c r="K59" s="224">
        <v>9.34</v>
      </c>
      <c r="L59" s="196"/>
      <c r="M59" s="289" t="str">
        <f t="shared" si="2"/>
        <v>BourgognePrunier</v>
      </c>
      <c r="N59" s="289" t="str">
        <f t="shared" si="3"/>
        <v>BourgognePrunierAutres</v>
      </c>
      <c r="P59" s="242" t="s">
        <v>14</v>
      </c>
      <c r="Q59" s="243" t="s">
        <v>162</v>
      </c>
      <c r="R59" s="243" t="s">
        <v>170</v>
      </c>
      <c r="S59" s="222"/>
      <c r="T59" s="222"/>
      <c r="U59" s="222"/>
      <c r="V59" s="224"/>
    </row>
    <row r="60" spans="2:22" ht="15" thickTop="1" x14ac:dyDescent="0.3">
      <c r="B60" t="str">
        <f t="shared" si="0"/>
        <v>BretagneAbricotier</v>
      </c>
      <c r="C60" t="str">
        <f t="shared" si="1"/>
        <v>BretagneAbricotierAbricotier</v>
      </c>
      <c r="E60" s="230" t="s">
        <v>15</v>
      </c>
      <c r="F60" s="135" t="s">
        <v>127</v>
      </c>
      <c r="G60" s="135" t="s">
        <v>127</v>
      </c>
      <c r="H60" s="220">
        <v>0.01</v>
      </c>
      <c r="I60" s="220">
        <v>0.62</v>
      </c>
      <c r="J60" s="220">
        <v>5.1100000000000003</v>
      </c>
      <c r="K60" s="223">
        <v>10.66</v>
      </c>
      <c r="L60" s="196"/>
      <c r="M60" s="289" t="str">
        <f t="shared" si="2"/>
        <v>BretagneAbricotier</v>
      </c>
      <c r="N60" s="289" t="str">
        <f t="shared" si="3"/>
        <v>BretagneAbricotierAbricotier</v>
      </c>
      <c r="P60" s="240" t="s">
        <v>15</v>
      </c>
      <c r="Q60" s="241" t="s">
        <v>127</v>
      </c>
      <c r="R60" s="241" t="s">
        <v>127</v>
      </c>
      <c r="S60" s="220"/>
      <c r="T60" s="220"/>
      <c r="U60" s="220"/>
      <c r="V60" s="223"/>
    </row>
    <row r="61" spans="2:22" x14ac:dyDescent="0.3">
      <c r="B61" t="str">
        <f t="shared" si="0"/>
        <v>BretagneAgrumes</v>
      </c>
      <c r="C61" t="str">
        <f t="shared" si="1"/>
        <v>BretagneAgrumesClémentinier</v>
      </c>
      <c r="E61" s="230" t="s">
        <v>15</v>
      </c>
      <c r="F61" s="135" t="s">
        <v>634</v>
      </c>
      <c r="G61" s="135" t="s">
        <v>135</v>
      </c>
      <c r="H61" s="220">
        <v>0</v>
      </c>
      <c r="I61" s="220">
        <v>0.3</v>
      </c>
      <c r="J61" s="220">
        <v>2</v>
      </c>
      <c r="K61" s="223">
        <v>5</v>
      </c>
      <c r="L61" s="196"/>
      <c r="M61" s="289" t="str">
        <f t="shared" si="2"/>
        <v>BretagneAgrumes</v>
      </c>
      <c r="N61" s="289" t="str">
        <f t="shared" si="3"/>
        <v>BretagneAgrumesClémentinier</v>
      </c>
      <c r="P61" s="240" t="s">
        <v>15</v>
      </c>
      <c r="Q61" s="241" t="s">
        <v>634</v>
      </c>
      <c r="R61" s="241" t="s">
        <v>135</v>
      </c>
      <c r="S61" s="220"/>
      <c r="T61" s="220"/>
      <c r="U61" s="220"/>
      <c r="V61" s="223"/>
    </row>
    <row r="62" spans="2:22" x14ac:dyDescent="0.3">
      <c r="B62" t="str">
        <f t="shared" si="0"/>
        <v>BretagneAutres</v>
      </c>
      <c r="C62" t="str">
        <f t="shared" si="1"/>
        <v>BretagneAutresPrunier</v>
      </c>
      <c r="E62" s="230" t="s">
        <v>15</v>
      </c>
      <c r="F62" s="135" t="s">
        <v>170</v>
      </c>
      <c r="G62" s="135" t="s">
        <v>162</v>
      </c>
      <c r="H62" s="220">
        <v>0.01</v>
      </c>
      <c r="I62" s="220">
        <v>0.33</v>
      </c>
      <c r="J62" s="220">
        <v>5.14</v>
      </c>
      <c r="K62" s="223">
        <v>9.34</v>
      </c>
      <c r="L62" s="196"/>
      <c r="M62" s="289" t="str">
        <f t="shared" si="2"/>
        <v>BretagneAutres</v>
      </c>
      <c r="N62" s="289" t="str">
        <f t="shared" si="3"/>
        <v>BretagneAutresPrunier</v>
      </c>
      <c r="P62" s="240" t="s">
        <v>15</v>
      </c>
      <c r="Q62" s="241" t="s">
        <v>170</v>
      </c>
      <c r="R62" s="241" t="s">
        <v>162</v>
      </c>
      <c r="S62" s="220"/>
      <c r="T62" s="220"/>
      <c r="U62" s="220"/>
      <c r="V62" s="223"/>
    </row>
    <row r="63" spans="2:22" x14ac:dyDescent="0.3">
      <c r="B63" t="str">
        <f t="shared" si="0"/>
        <v>BretagneCerisier</v>
      </c>
      <c r="C63" t="str">
        <f t="shared" si="1"/>
        <v>BretagneCerisierCerisier</v>
      </c>
      <c r="E63" s="230" t="s">
        <v>15</v>
      </c>
      <c r="F63" s="135" t="s">
        <v>132</v>
      </c>
      <c r="G63" s="135" t="s">
        <v>132</v>
      </c>
      <c r="H63" s="220">
        <v>0</v>
      </c>
      <c r="I63" s="220">
        <v>0.36</v>
      </c>
      <c r="J63" s="220">
        <v>4.0599999999999996</v>
      </c>
      <c r="K63" s="223">
        <v>8.0299999999999994</v>
      </c>
      <c r="L63" s="196"/>
      <c r="M63" s="289" t="str">
        <f t="shared" si="2"/>
        <v>BretagneCerisier</v>
      </c>
      <c r="N63" s="289" t="str">
        <f t="shared" si="3"/>
        <v>BretagneCerisierCerisier</v>
      </c>
      <c r="P63" s="240" t="s">
        <v>15</v>
      </c>
      <c r="Q63" s="241" t="s">
        <v>132</v>
      </c>
      <c r="R63" s="241" t="s">
        <v>132</v>
      </c>
      <c r="S63" s="220"/>
      <c r="T63" s="220"/>
      <c r="U63" s="220"/>
      <c r="V63" s="223"/>
    </row>
    <row r="64" spans="2:22" x14ac:dyDescent="0.3">
      <c r="B64" t="str">
        <f t="shared" si="0"/>
        <v>BretagneMirabellier</v>
      </c>
      <c r="C64" t="str">
        <f t="shared" si="1"/>
        <v>BretagneMirabellierAutres</v>
      </c>
      <c r="E64" s="230" t="s">
        <v>15</v>
      </c>
      <c r="F64" s="135" t="s">
        <v>145</v>
      </c>
      <c r="G64" s="135" t="s">
        <v>170</v>
      </c>
      <c r="H64" s="220">
        <v>0.01</v>
      </c>
      <c r="I64" s="220">
        <v>0.33</v>
      </c>
      <c r="J64" s="220">
        <v>5.14</v>
      </c>
      <c r="K64" s="223">
        <v>9.34</v>
      </c>
      <c r="L64" s="196"/>
      <c r="M64" s="289" t="str">
        <f t="shared" si="2"/>
        <v>BretagneMirabellier</v>
      </c>
      <c r="N64" s="289" t="str">
        <f t="shared" si="3"/>
        <v>BretagneMirabellierAutres</v>
      </c>
      <c r="P64" s="240" t="s">
        <v>15</v>
      </c>
      <c r="Q64" s="241" t="s">
        <v>145</v>
      </c>
      <c r="R64" s="241" t="s">
        <v>170</v>
      </c>
      <c r="S64" s="220"/>
      <c r="T64" s="220"/>
      <c r="U64" s="220"/>
      <c r="V64" s="223"/>
    </row>
    <row r="65" spans="2:22" x14ac:dyDescent="0.3">
      <c r="B65" t="str">
        <f t="shared" si="0"/>
        <v>BretagneNectarinier</v>
      </c>
      <c r="C65" t="str">
        <f t="shared" si="1"/>
        <v>BretagneNectarinierNectarinier-Pêcher</v>
      </c>
      <c r="E65" s="230" t="s">
        <v>15</v>
      </c>
      <c r="F65" s="135" t="s">
        <v>151</v>
      </c>
      <c r="G65" s="135" t="s">
        <v>635</v>
      </c>
      <c r="H65" s="220">
        <v>0.03</v>
      </c>
      <c r="I65" s="220">
        <v>0.84</v>
      </c>
      <c r="J65" s="220">
        <v>9.25</v>
      </c>
      <c r="K65" s="223">
        <v>19.38</v>
      </c>
      <c r="L65" s="196"/>
      <c r="M65" s="289" t="str">
        <f t="shared" si="2"/>
        <v>BretagneNectarinier</v>
      </c>
      <c r="N65" s="289" t="str">
        <f t="shared" si="3"/>
        <v>BretagneNectarinierNectarinier-Pêcher</v>
      </c>
      <c r="P65" s="240" t="s">
        <v>15</v>
      </c>
      <c r="Q65" s="241" t="s">
        <v>151</v>
      </c>
      <c r="R65" s="241" t="s">
        <v>635</v>
      </c>
      <c r="S65" s="220"/>
      <c r="T65" s="220"/>
      <c r="U65" s="220"/>
      <c r="V65" s="223"/>
    </row>
    <row r="66" spans="2:22" x14ac:dyDescent="0.3">
      <c r="B66" t="str">
        <f t="shared" si="0"/>
        <v>BretagneNoyer</v>
      </c>
      <c r="C66" t="str">
        <f t="shared" si="1"/>
        <v>BretagneNoyerAutres</v>
      </c>
      <c r="E66" s="230" t="s">
        <v>15</v>
      </c>
      <c r="F66" s="135" t="s">
        <v>154</v>
      </c>
      <c r="G66" s="135" t="s">
        <v>170</v>
      </c>
      <c r="H66" s="220">
        <v>0.01</v>
      </c>
      <c r="I66" s="220">
        <v>0.33</v>
      </c>
      <c r="J66" s="220">
        <v>5.14</v>
      </c>
      <c r="K66" s="223">
        <v>9.34</v>
      </c>
      <c r="L66" s="196"/>
      <c r="M66" s="289" t="str">
        <f t="shared" si="2"/>
        <v>BretagneNoyer</v>
      </c>
      <c r="N66" s="289" t="str">
        <f t="shared" si="3"/>
        <v>BretagneNoyerAutres</v>
      </c>
      <c r="P66" s="240" t="s">
        <v>15</v>
      </c>
      <c r="Q66" s="241" t="s">
        <v>154</v>
      </c>
      <c r="R66" s="241" t="s">
        <v>170</v>
      </c>
      <c r="S66" s="220"/>
      <c r="T66" s="220"/>
      <c r="U66" s="220"/>
      <c r="V66" s="223"/>
    </row>
    <row r="67" spans="2:22" x14ac:dyDescent="0.3">
      <c r="B67" t="str">
        <f t="shared" si="0"/>
        <v>BretagnePêcher</v>
      </c>
      <c r="C67" t="str">
        <f t="shared" si="1"/>
        <v>BretagnePêcherNectarinier-Pêcher</v>
      </c>
      <c r="E67" s="230" t="s">
        <v>15</v>
      </c>
      <c r="F67" s="135" t="s">
        <v>158</v>
      </c>
      <c r="G67" s="135" t="s">
        <v>635</v>
      </c>
      <c r="H67" s="220">
        <v>0.03</v>
      </c>
      <c r="I67" s="220">
        <v>0.84</v>
      </c>
      <c r="J67" s="220">
        <v>9.25</v>
      </c>
      <c r="K67" s="223">
        <v>19.38</v>
      </c>
      <c r="L67" s="196"/>
      <c r="M67" s="289" t="str">
        <f t="shared" si="2"/>
        <v>BretagnePêcher</v>
      </c>
      <c r="N67" s="289" t="str">
        <f t="shared" si="3"/>
        <v>BretagnePêcherNectarinier-Pêcher</v>
      </c>
      <c r="P67" s="240" t="s">
        <v>15</v>
      </c>
      <c r="Q67" s="241" t="s">
        <v>158</v>
      </c>
      <c r="R67" s="241" t="s">
        <v>635</v>
      </c>
      <c r="S67" s="220"/>
      <c r="T67" s="220"/>
      <c r="U67" s="220"/>
      <c r="V67" s="223"/>
    </row>
    <row r="68" spans="2:22" x14ac:dyDescent="0.3">
      <c r="B68" t="str">
        <f t="shared" si="0"/>
        <v>BretagnePoirier</v>
      </c>
      <c r="C68" t="str">
        <f t="shared" si="1"/>
        <v>BretagnePoirierAutres</v>
      </c>
      <c r="E68" s="230" t="s">
        <v>15</v>
      </c>
      <c r="F68" s="135" t="s">
        <v>159</v>
      </c>
      <c r="G68" s="135" t="s">
        <v>170</v>
      </c>
      <c r="H68" s="220">
        <v>0.01</v>
      </c>
      <c r="I68" s="220">
        <v>0.33</v>
      </c>
      <c r="J68" s="220">
        <v>5.14</v>
      </c>
      <c r="K68" s="223">
        <v>9.34</v>
      </c>
      <c r="L68" s="196"/>
      <c r="M68" s="289" t="str">
        <f t="shared" si="2"/>
        <v>BretagnePoirier</v>
      </c>
      <c r="N68" s="289" t="str">
        <f t="shared" si="3"/>
        <v>BretagnePoirierAutres</v>
      </c>
      <c r="P68" s="240" t="s">
        <v>15</v>
      </c>
      <c r="Q68" s="241" t="s">
        <v>159</v>
      </c>
      <c r="R68" s="241" t="s">
        <v>170</v>
      </c>
      <c r="S68" s="220"/>
      <c r="T68" s="220"/>
      <c r="U68" s="220"/>
      <c r="V68" s="223"/>
    </row>
    <row r="69" spans="2:22" x14ac:dyDescent="0.3">
      <c r="B69" t="str">
        <f t="shared" si="0"/>
        <v>BretagnePommier</v>
      </c>
      <c r="C69" t="str">
        <f t="shared" si="1"/>
        <v>BretagnePommierPommier</v>
      </c>
      <c r="E69" s="230" t="s">
        <v>15</v>
      </c>
      <c r="F69" s="135" t="s">
        <v>161</v>
      </c>
      <c r="G69" s="135" t="s">
        <v>161</v>
      </c>
      <c r="H69" s="220">
        <v>0</v>
      </c>
      <c r="I69" s="220">
        <v>0.52</v>
      </c>
      <c r="J69" s="220">
        <v>7.73</v>
      </c>
      <c r="K69" s="223">
        <v>27.33</v>
      </c>
      <c r="L69" s="196"/>
      <c r="M69" s="289" t="str">
        <f t="shared" si="2"/>
        <v>BretagnePommier</v>
      </c>
      <c r="N69" s="289" t="str">
        <f t="shared" si="3"/>
        <v>BretagnePommierPommier</v>
      </c>
      <c r="P69" s="240" t="s">
        <v>15</v>
      </c>
      <c r="Q69" s="241" t="s">
        <v>161</v>
      </c>
      <c r="R69" s="241" t="s">
        <v>161</v>
      </c>
      <c r="S69" s="220"/>
      <c r="T69" s="220"/>
      <c r="U69" s="220"/>
      <c r="V69" s="223"/>
    </row>
    <row r="70" spans="2:22" ht="15" thickBot="1" x14ac:dyDescent="0.35">
      <c r="B70" t="str">
        <f t="shared" ref="B70:B133" si="4">E70&amp;F70</f>
        <v>BretagnePrunier</v>
      </c>
      <c r="C70" t="str">
        <f t="shared" ref="C70:C133" si="5">E70&amp;F70&amp;G70</f>
        <v>BretagnePrunierAutres</v>
      </c>
      <c r="E70" s="231" t="s">
        <v>15</v>
      </c>
      <c r="F70" s="232" t="s">
        <v>162</v>
      </c>
      <c r="G70" s="232" t="s">
        <v>170</v>
      </c>
      <c r="H70" s="222">
        <v>0.01</v>
      </c>
      <c r="I70" s="222">
        <v>0.33</v>
      </c>
      <c r="J70" s="222">
        <v>5.14</v>
      </c>
      <c r="K70" s="224">
        <v>9.34</v>
      </c>
      <c r="L70" s="196"/>
      <c r="M70" s="289" t="str">
        <f t="shared" ref="M70:M133" si="6">P70&amp;Q70</f>
        <v>BretagnePrunier</v>
      </c>
      <c r="N70" s="289" t="str">
        <f t="shared" ref="N70:N133" si="7">P70&amp;Q70&amp;R70</f>
        <v>BretagnePrunierAutres</v>
      </c>
      <c r="P70" s="242" t="s">
        <v>15</v>
      </c>
      <c r="Q70" s="243" t="s">
        <v>162</v>
      </c>
      <c r="R70" s="243" t="s">
        <v>170</v>
      </c>
      <c r="S70" s="222"/>
      <c r="T70" s="222"/>
      <c r="U70" s="222"/>
      <c r="V70" s="224"/>
    </row>
    <row r="71" spans="2:22" ht="15" thickTop="1" x14ac:dyDescent="0.3">
      <c r="B71" t="str">
        <f t="shared" si="4"/>
        <v>CentreAbricotier</v>
      </c>
      <c r="C71" t="str">
        <f t="shared" si="5"/>
        <v>CentreAbricotierAbricotier</v>
      </c>
      <c r="E71" s="230" t="s">
        <v>16</v>
      </c>
      <c r="F71" s="135" t="s">
        <v>127</v>
      </c>
      <c r="G71" s="135" t="s">
        <v>127</v>
      </c>
      <c r="H71" s="220">
        <v>0.01</v>
      </c>
      <c r="I71" s="220">
        <v>0.62</v>
      </c>
      <c r="J71" s="220">
        <v>5.1100000000000003</v>
      </c>
      <c r="K71" s="223">
        <v>10.66</v>
      </c>
      <c r="L71" s="196"/>
      <c r="M71" s="289" t="str">
        <f t="shared" si="6"/>
        <v>CentreAbricotier</v>
      </c>
      <c r="N71" s="289" t="str">
        <f t="shared" si="7"/>
        <v>CentreAbricotierAbricotier</v>
      </c>
      <c r="P71" s="240" t="s">
        <v>16</v>
      </c>
      <c r="Q71" s="241" t="s">
        <v>127</v>
      </c>
      <c r="R71" s="241" t="s">
        <v>127</v>
      </c>
      <c r="S71" s="220"/>
      <c r="T71" s="220"/>
      <c r="U71" s="220"/>
      <c r="V71" s="223"/>
    </row>
    <row r="72" spans="2:22" x14ac:dyDescent="0.3">
      <c r="B72" t="str">
        <f t="shared" si="4"/>
        <v>CentreAgrumes</v>
      </c>
      <c r="C72" t="str">
        <f t="shared" si="5"/>
        <v>CentreAgrumesClémentinier</v>
      </c>
      <c r="E72" s="230" t="s">
        <v>16</v>
      </c>
      <c r="F72" s="135" t="s">
        <v>634</v>
      </c>
      <c r="G72" s="135" t="s">
        <v>135</v>
      </c>
      <c r="H72" s="220">
        <v>0</v>
      </c>
      <c r="I72" s="220">
        <v>0.3</v>
      </c>
      <c r="J72" s="220">
        <v>2</v>
      </c>
      <c r="K72" s="223">
        <v>5</v>
      </c>
      <c r="L72" s="196"/>
      <c r="M72" s="289" t="str">
        <f t="shared" si="6"/>
        <v>CentreAgrumes</v>
      </c>
      <c r="N72" s="289" t="str">
        <f t="shared" si="7"/>
        <v>CentreAgrumesClémentinier</v>
      </c>
      <c r="P72" s="240" t="s">
        <v>16</v>
      </c>
      <c r="Q72" s="241" t="s">
        <v>634</v>
      </c>
      <c r="R72" s="241" t="s">
        <v>135</v>
      </c>
      <c r="S72" s="220"/>
      <c r="T72" s="220"/>
      <c r="U72" s="220"/>
      <c r="V72" s="223"/>
    </row>
    <row r="73" spans="2:22" x14ac:dyDescent="0.3">
      <c r="B73" t="str">
        <f t="shared" si="4"/>
        <v>CentreAutres</v>
      </c>
      <c r="C73" t="str">
        <f t="shared" si="5"/>
        <v>CentreAutresPrunier</v>
      </c>
      <c r="E73" s="230" t="s">
        <v>16</v>
      </c>
      <c r="F73" s="135" t="s">
        <v>170</v>
      </c>
      <c r="G73" s="135" t="s">
        <v>162</v>
      </c>
      <c r="H73" s="220">
        <v>0.01</v>
      </c>
      <c r="I73" s="220">
        <v>0.33</v>
      </c>
      <c r="J73" s="220">
        <v>5.14</v>
      </c>
      <c r="K73" s="223">
        <v>9.34</v>
      </c>
      <c r="L73" s="196"/>
      <c r="M73" s="289" t="str">
        <f t="shared" si="6"/>
        <v>CentreAutres</v>
      </c>
      <c r="N73" s="289" t="str">
        <f t="shared" si="7"/>
        <v>CentreAutresPrunier</v>
      </c>
      <c r="P73" s="240" t="s">
        <v>16</v>
      </c>
      <c r="Q73" s="241" t="s">
        <v>170</v>
      </c>
      <c r="R73" s="241" t="s">
        <v>162</v>
      </c>
      <c r="S73" s="220"/>
      <c r="T73" s="220"/>
      <c r="U73" s="220"/>
      <c r="V73" s="223"/>
    </row>
    <row r="74" spans="2:22" x14ac:dyDescent="0.3">
      <c r="B74" t="str">
        <f t="shared" si="4"/>
        <v>CentreCerisier</v>
      </c>
      <c r="C74" t="str">
        <f t="shared" si="5"/>
        <v>CentreCerisierCerisier</v>
      </c>
      <c r="E74" s="230" t="s">
        <v>16</v>
      </c>
      <c r="F74" s="135" t="s">
        <v>132</v>
      </c>
      <c r="G74" s="135" t="s">
        <v>132</v>
      </c>
      <c r="H74" s="220">
        <v>0.14000000000000001</v>
      </c>
      <c r="I74" s="220">
        <v>0.36</v>
      </c>
      <c r="J74" s="220">
        <v>7.91</v>
      </c>
      <c r="K74" s="223">
        <v>12.19</v>
      </c>
      <c r="L74" s="196"/>
      <c r="M74" s="289" t="str">
        <f t="shared" si="6"/>
        <v>CentreCerisier</v>
      </c>
      <c r="N74" s="289" t="str">
        <f t="shared" si="7"/>
        <v>CentreCerisierCerisier</v>
      </c>
      <c r="P74" s="240" t="s">
        <v>16</v>
      </c>
      <c r="Q74" s="241" t="s">
        <v>132</v>
      </c>
      <c r="R74" s="241" t="s">
        <v>132</v>
      </c>
      <c r="S74" s="220"/>
      <c r="T74" s="220"/>
      <c r="U74" s="220"/>
      <c r="V74" s="223"/>
    </row>
    <row r="75" spans="2:22" x14ac:dyDescent="0.3">
      <c r="B75" t="str">
        <f t="shared" si="4"/>
        <v>CentreMirabellier</v>
      </c>
      <c r="C75" t="str">
        <f t="shared" si="5"/>
        <v>CentreMirabellierAutres</v>
      </c>
      <c r="E75" s="230" t="s">
        <v>16</v>
      </c>
      <c r="F75" s="135" t="s">
        <v>145</v>
      </c>
      <c r="G75" s="135" t="s">
        <v>170</v>
      </c>
      <c r="H75" s="220">
        <v>0.01</v>
      </c>
      <c r="I75" s="220">
        <v>0.33</v>
      </c>
      <c r="J75" s="220">
        <v>5.14</v>
      </c>
      <c r="K75" s="223">
        <v>9.34</v>
      </c>
      <c r="L75" s="196"/>
      <c r="M75" s="289" t="str">
        <f t="shared" si="6"/>
        <v>CentreMirabellier</v>
      </c>
      <c r="N75" s="289" t="str">
        <f t="shared" si="7"/>
        <v>CentreMirabellierAutres</v>
      </c>
      <c r="P75" s="240" t="s">
        <v>16</v>
      </c>
      <c r="Q75" s="241" t="s">
        <v>145</v>
      </c>
      <c r="R75" s="241" t="s">
        <v>170</v>
      </c>
      <c r="S75" s="220"/>
      <c r="T75" s="220"/>
      <c r="U75" s="220"/>
      <c r="V75" s="223"/>
    </row>
    <row r="76" spans="2:22" x14ac:dyDescent="0.3">
      <c r="B76" t="str">
        <f t="shared" si="4"/>
        <v>CentreNectarinier</v>
      </c>
      <c r="C76" t="str">
        <f t="shared" si="5"/>
        <v>CentreNectarinierNectarinier-Pêcher</v>
      </c>
      <c r="E76" s="230" t="s">
        <v>16</v>
      </c>
      <c r="F76" s="135" t="s">
        <v>151</v>
      </c>
      <c r="G76" s="135" t="s">
        <v>635</v>
      </c>
      <c r="H76" s="220">
        <v>0.03</v>
      </c>
      <c r="I76" s="220">
        <v>0.84</v>
      </c>
      <c r="J76" s="220">
        <v>9.25</v>
      </c>
      <c r="K76" s="223">
        <v>19.38</v>
      </c>
      <c r="L76" s="196"/>
      <c r="M76" s="289" t="str">
        <f t="shared" si="6"/>
        <v>CentreNectarinier</v>
      </c>
      <c r="N76" s="289" t="str">
        <f t="shared" si="7"/>
        <v>CentreNectarinierNectarinier-Pêcher</v>
      </c>
      <c r="P76" s="240" t="s">
        <v>16</v>
      </c>
      <c r="Q76" s="241" t="s">
        <v>151</v>
      </c>
      <c r="R76" s="241" t="s">
        <v>635</v>
      </c>
      <c r="S76" s="220"/>
      <c r="T76" s="220"/>
      <c r="U76" s="220"/>
      <c r="V76" s="223"/>
    </row>
    <row r="77" spans="2:22" x14ac:dyDescent="0.3">
      <c r="B77" t="str">
        <f t="shared" si="4"/>
        <v>CentreNoyer</v>
      </c>
      <c r="C77" t="str">
        <f t="shared" si="5"/>
        <v>CentreNoyerAutres</v>
      </c>
      <c r="E77" s="230" t="s">
        <v>16</v>
      </c>
      <c r="F77" s="135" t="s">
        <v>154</v>
      </c>
      <c r="G77" s="135" t="s">
        <v>170</v>
      </c>
      <c r="H77" s="220">
        <v>0.01</v>
      </c>
      <c r="I77" s="220">
        <v>0.33</v>
      </c>
      <c r="J77" s="220">
        <v>5.14</v>
      </c>
      <c r="K77" s="223">
        <v>9.34</v>
      </c>
      <c r="L77" s="196"/>
      <c r="M77" s="289" t="str">
        <f t="shared" si="6"/>
        <v>CentreNoyer</v>
      </c>
      <c r="N77" s="289" t="str">
        <f t="shared" si="7"/>
        <v>CentreNoyerAutres</v>
      </c>
      <c r="P77" s="240" t="s">
        <v>16</v>
      </c>
      <c r="Q77" s="241" t="s">
        <v>154</v>
      </c>
      <c r="R77" s="241" t="s">
        <v>170</v>
      </c>
      <c r="S77" s="220"/>
      <c r="T77" s="220"/>
      <c r="U77" s="220"/>
      <c r="V77" s="223"/>
    </row>
    <row r="78" spans="2:22" x14ac:dyDescent="0.3">
      <c r="B78" t="str">
        <f t="shared" si="4"/>
        <v>CentrePêcher</v>
      </c>
      <c r="C78" t="str">
        <f t="shared" si="5"/>
        <v>CentrePêcherNectarinier-Pêcher</v>
      </c>
      <c r="E78" s="230" t="s">
        <v>16</v>
      </c>
      <c r="F78" s="135" t="s">
        <v>158</v>
      </c>
      <c r="G78" s="135" t="s">
        <v>635</v>
      </c>
      <c r="H78" s="220">
        <v>0.03</v>
      </c>
      <c r="I78" s="220">
        <v>0.84</v>
      </c>
      <c r="J78" s="220">
        <v>9.25</v>
      </c>
      <c r="K78" s="223">
        <v>19.38</v>
      </c>
      <c r="L78" s="196"/>
      <c r="M78" s="289" t="str">
        <f t="shared" si="6"/>
        <v>CentrePêcher</v>
      </c>
      <c r="N78" s="289" t="str">
        <f t="shared" si="7"/>
        <v>CentrePêcherNectarinier-Pêcher</v>
      </c>
      <c r="P78" s="240" t="s">
        <v>16</v>
      </c>
      <c r="Q78" s="241" t="s">
        <v>158</v>
      </c>
      <c r="R78" s="241" t="s">
        <v>635</v>
      </c>
      <c r="S78" s="220"/>
      <c r="T78" s="220"/>
      <c r="U78" s="220"/>
      <c r="V78" s="223"/>
    </row>
    <row r="79" spans="2:22" x14ac:dyDescent="0.3">
      <c r="B79" t="str">
        <f t="shared" si="4"/>
        <v>CentrePoirier</v>
      </c>
      <c r="C79" t="str">
        <f t="shared" si="5"/>
        <v>CentrePoirierAutres</v>
      </c>
      <c r="E79" s="230" t="s">
        <v>16</v>
      </c>
      <c r="F79" s="135" t="s">
        <v>159</v>
      </c>
      <c r="G79" s="135" t="s">
        <v>170</v>
      </c>
      <c r="H79" s="220">
        <v>0.01</v>
      </c>
      <c r="I79" s="220">
        <v>0.33</v>
      </c>
      <c r="J79" s="220">
        <v>5.14</v>
      </c>
      <c r="K79" s="223">
        <v>9.34</v>
      </c>
      <c r="L79" s="196"/>
      <c r="M79" s="289" t="str">
        <f t="shared" si="6"/>
        <v>CentrePoirier</v>
      </c>
      <c r="N79" s="289" t="str">
        <f t="shared" si="7"/>
        <v>CentrePoirierAutres</v>
      </c>
      <c r="P79" s="240" t="s">
        <v>16</v>
      </c>
      <c r="Q79" s="241" t="s">
        <v>159</v>
      </c>
      <c r="R79" s="241" t="s">
        <v>170</v>
      </c>
      <c r="S79" s="220"/>
      <c r="T79" s="220"/>
      <c r="U79" s="220"/>
      <c r="V79" s="223"/>
    </row>
    <row r="80" spans="2:22" x14ac:dyDescent="0.3">
      <c r="B80" t="str">
        <f t="shared" si="4"/>
        <v>CentrePommier</v>
      </c>
      <c r="C80" t="str">
        <f t="shared" si="5"/>
        <v>CentrePommierPommier</v>
      </c>
      <c r="E80" s="230" t="s">
        <v>16</v>
      </c>
      <c r="F80" s="135" t="s">
        <v>161</v>
      </c>
      <c r="G80" s="135" t="s">
        <v>161</v>
      </c>
      <c r="H80" s="220">
        <v>0.08</v>
      </c>
      <c r="I80" s="220">
        <v>0.47</v>
      </c>
      <c r="J80" s="220">
        <v>22.68</v>
      </c>
      <c r="K80" s="223">
        <v>35.54</v>
      </c>
      <c r="L80" s="196"/>
      <c r="M80" s="289" t="str">
        <f t="shared" si="6"/>
        <v>CentrePommier</v>
      </c>
      <c r="N80" s="289" t="str">
        <f t="shared" si="7"/>
        <v>CentrePommierPommier</v>
      </c>
      <c r="P80" s="240" t="s">
        <v>16</v>
      </c>
      <c r="Q80" s="241" t="s">
        <v>161</v>
      </c>
      <c r="R80" s="241" t="s">
        <v>161</v>
      </c>
      <c r="S80" s="220"/>
      <c r="T80" s="220"/>
      <c r="U80" s="220"/>
      <c r="V80" s="223"/>
    </row>
    <row r="81" spans="2:22" ht="15" thickBot="1" x14ac:dyDescent="0.35">
      <c r="B81" t="str">
        <f t="shared" si="4"/>
        <v>CentrePrunier</v>
      </c>
      <c r="C81" t="str">
        <f t="shared" si="5"/>
        <v>CentrePrunierAutres</v>
      </c>
      <c r="E81" s="231" t="s">
        <v>16</v>
      </c>
      <c r="F81" s="232" t="s">
        <v>162</v>
      </c>
      <c r="G81" s="232" t="s">
        <v>170</v>
      </c>
      <c r="H81" s="222">
        <v>0.01</v>
      </c>
      <c r="I81" s="222">
        <v>0.33</v>
      </c>
      <c r="J81" s="222">
        <v>5.14</v>
      </c>
      <c r="K81" s="224">
        <v>9.34</v>
      </c>
      <c r="L81" s="196"/>
      <c r="M81" s="289" t="str">
        <f t="shared" si="6"/>
        <v>CentrePrunier</v>
      </c>
      <c r="N81" s="289" t="str">
        <f t="shared" si="7"/>
        <v>CentrePrunierAutres</v>
      </c>
      <c r="P81" s="242" t="s">
        <v>16</v>
      </c>
      <c r="Q81" s="243" t="s">
        <v>162</v>
      </c>
      <c r="R81" s="243" t="s">
        <v>170</v>
      </c>
      <c r="S81" s="222"/>
      <c r="T81" s="222"/>
      <c r="U81" s="222"/>
      <c r="V81" s="224"/>
    </row>
    <row r="82" spans="2:22" ht="15" thickTop="1" x14ac:dyDescent="0.3">
      <c r="B82" t="str">
        <f t="shared" si="4"/>
        <v>Champagne-ArdenneAbricotier</v>
      </c>
      <c r="C82" t="str">
        <f t="shared" si="5"/>
        <v>Champagne-ArdenneAbricotierAbricotier</v>
      </c>
      <c r="E82" s="230" t="s">
        <v>17</v>
      </c>
      <c r="F82" s="135" t="s">
        <v>127</v>
      </c>
      <c r="G82" s="135" t="s">
        <v>127</v>
      </c>
      <c r="H82" s="220">
        <v>0.01</v>
      </c>
      <c r="I82" s="220">
        <v>0.62</v>
      </c>
      <c r="J82" s="220">
        <v>5.1100000000000003</v>
      </c>
      <c r="K82" s="223">
        <v>10.66</v>
      </c>
      <c r="L82" s="196"/>
      <c r="M82" s="289" t="str">
        <f t="shared" si="6"/>
        <v>Champagne-ArdenneAbricotier</v>
      </c>
      <c r="N82" s="289" t="str">
        <f t="shared" si="7"/>
        <v>Champagne-ArdenneAbricotierAbricotier</v>
      </c>
      <c r="P82" s="240" t="s">
        <v>17</v>
      </c>
      <c r="Q82" s="241" t="s">
        <v>127</v>
      </c>
      <c r="R82" s="241" t="s">
        <v>127</v>
      </c>
      <c r="S82" s="220"/>
      <c r="T82" s="220"/>
      <c r="U82" s="220"/>
      <c r="V82" s="223"/>
    </row>
    <row r="83" spans="2:22" x14ac:dyDescent="0.3">
      <c r="B83" t="str">
        <f t="shared" si="4"/>
        <v>Champagne-ArdenneAgrumes</v>
      </c>
      <c r="C83" t="str">
        <f t="shared" si="5"/>
        <v>Champagne-ArdenneAgrumesClémentinier</v>
      </c>
      <c r="E83" s="230" t="s">
        <v>17</v>
      </c>
      <c r="F83" s="135" t="s">
        <v>634</v>
      </c>
      <c r="G83" s="135" t="s">
        <v>135</v>
      </c>
      <c r="H83" s="220">
        <v>0</v>
      </c>
      <c r="I83" s="220">
        <v>0.3</v>
      </c>
      <c r="J83" s="220">
        <v>2</v>
      </c>
      <c r="K83" s="223">
        <v>5</v>
      </c>
      <c r="L83" s="196"/>
      <c r="M83" s="289" t="str">
        <f t="shared" si="6"/>
        <v>Champagne-ArdenneAgrumes</v>
      </c>
      <c r="N83" s="289" t="str">
        <f t="shared" si="7"/>
        <v>Champagne-ArdenneAgrumesClémentinier</v>
      </c>
      <c r="P83" s="240" t="s">
        <v>17</v>
      </c>
      <c r="Q83" s="241" t="s">
        <v>634</v>
      </c>
      <c r="R83" s="241" t="s">
        <v>135</v>
      </c>
      <c r="S83" s="220"/>
      <c r="T83" s="220"/>
      <c r="U83" s="220"/>
      <c r="V83" s="223"/>
    </row>
    <row r="84" spans="2:22" x14ac:dyDescent="0.3">
      <c r="B84" t="str">
        <f t="shared" si="4"/>
        <v>Champagne-ArdenneAutres</v>
      </c>
      <c r="C84" t="str">
        <f t="shared" si="5"/>
        <v>Champagne-ArdenneAutresPrunier</v>
      </c>
      <c r="E84" s="230" t="s">
        <v>17</v>
      </c>
      <c r="F84" s="135" t="s">
        <v>170</v>
      </c>
      <c r="G84" s="135" t="s">
        <v>162</v>
      </c>
      <c r="H84" s="220">
        <v>0.01</v>
      </c>
      <c r="I84" s="220">
        <v>0.33</v>
      </c>
      <c r="J84" s="220">
        <v>5.14</v>
      </c>
      <c r="K84" s="223">
        <v>9.34</v>
      </c>
      <c r="L84" s="196"/>
      <c r="M84" s="289" t="str">
        <f t="shared" si="6"/>
        <v>Champagne-ArdenneAutres</v>
      </c>
      <c r="N84" s="289" t="str">
        <f t="shared" si="7"/>
        <v>Champagne-ArdenneAutresPrunier</v>
      </c>
      <c r="P84" s="240" t="s">
        <v>17</v>
      </c>
      <c r="Q84" s="241" t="s">
        <v>170</v>
      </c>
      <c r="R84" s="241" t="s">
        <v>162</v>
      </c>
      <c r="S84" s="220"/>
      <c r="T84" s="220"/>
      <c r="U84" s="220"/>
      <c r="V84" s="223"/>
    </row>
    <row r="85" spans="2:22" x14ac:dyDescent="0.3">
      <c r="B85" t="str">
        <f t="shared" si="4"/>
        <v>Champagne-ArdenneCerisier</v>
      </c>
      <c r="C85" t="str">
        <f t="shared" si="5"/>
        <v>Champagne-ArdenneCerisierCerisier</v>
      </c>
      <c r="E85" s="230" t="s">
        <v>17</v>
      </c>
      <c r="F85" s="135" t="s">
        <v>132</v>
      </c>
      <c r="G85" s="135" t="s">
        <v>132</v>
      </c>
      <c r="H85" s="220">
        <v>0</v>
      </c>
      <c r="I85" s="220">
        <v>0.36</v>
      </c>
      <c r="J85" s="220">
        <v>4.0599999999999996</v>
      </c>
      <c r="K85" s="223">
        <v>8.0299999999999994</v>
      </c>
      <c r="L85" s="196"/>
      <c r="M85" s="289" t="str">
        <f t="shared" si="6"/>
        <v>Champagne-ArdenneCerisier</v>
      </c>
      <c r="N85" s="289" t="str">
        <f t="shared" si="7"/>
        <v>Champagne-ArdenneCerisierCerisier</v>
      </c>
      <c r="P85" s="240" t="s">
        <v>17</v>
      </c>
      <c r="Q85" s="241" t="s">
        <v>132</v>
      </c>
      <c r="R85" s="241" t="s">
        <v>132</v>
      </c>
      <c r="S85" s="220"/>
      <c r="T85" s="220"/>
      <c r="U85" s="220"/>
      <c r="V85" s="223"/>
    </row>
    <row r="86" spans="2:22" x14ac:dyDescent="0.3">
      <c r="B86" t="str">
        <f t="shared" si="4"/>
        <v>Champagne-ArdenneMirabellier</v>
      </c>
      <c r="C86" t="str">
        <f t="shared" si="5"/>
        <v>Champagne-ArdenneMirabellierAutres</v>
      </c>
      <c r="E86" s="230" t="s">
        <v>17</v>
      </c>
      <c r="F86" s="135" t="s">
        <v>145</v>
      </c>
      <c r="G86" s="135" t="s">
        <v>170</v>
      </c>
      <c r="H86" s="220">
        <v>0.01</v>
      </c>
      <c r="I86" s="220">
        <v>0.33</v>
      </c>
      <c r="J86" s="220">
        <v>5.14</v>
      </c>
      <c r="K86" s="223">
        <v>9.34</v>
      </c>
      <c r="L86" s="196"/>
      <c r="M86" s="289" t="str">
        <f t="shared" si="6"/>
        <v>Champagne-ArdenneMirabellier</v>
      </c>
      <c r="N86" s="289" t="str">
        <f t="shared" si="7"/>
        <v>Champagne-ArdenneMirabellierAutres</v>
      </c>
      <c r="P86" s="240" t="s">
        <v>17</v>
      </c>
      <c r="Q86" s="241" t="s">
        <v>145</v>
      </c>
      <c r="R86" s="241" t="s">
        <v>170</v>
      </c>
      <c r="S86" s="220"/>
      <c r="T86" s="220"/>
      <c r="U86" s="220"/>
      <c r="V86" s="223"/>
    </row>
    <row r="87" spans="2:22" x14ac:dyDescent="0.3">
      <c r="B87" t="str">
        <f t="shared" si="4"/>
        <v>Champagne-ArdenneNectarinier</v>
      </c>
      <c r="C87" t="str">
        <f t="shared" si="5"/>
        <v>Champagne-ArdenneNectarinierNectarinier-Pêcher</v>
      </c>
      <c r="E87" s="230" t="s">
        <v>17</v>
      </c>
      <c r="F87" s="135" t="s">
        <v>151</v>
      </c>
      <c r="G87" s="135" t="s">
        <v>635</v>
      </c>
      <c r="H87" s="220">
        <v>0.03</v>
      </c>
      <c r="I87" s="220">
        <v>0.84</v>
      </c>
      <c r="J87" s="220">
        <v>9.25</v>
      </c>
      <c r="K87" s="223">
        <v>19.38</v>
      </c>
      <c r="L87" s="196"/>
      <c r="M87" s="289" t="str">
        <f t="shared" si="6"/>
        <v>Champagne-ArdenneNectarinier</v>
      </c>
      <c r="N87" s="289" t="str">
        <f t="shared" si="7"/>
        <v>Champagne-ArdenneNectarinierNectarinier-Pêcher</v>
      </c>
      <c r="P87" s="240" t="s">
        <v>17</v>
      </c>
      <c r="Q87" s="241" t="s">
        <v>151</v>
      </c>
      <c r="R87" s="241" t="s">
        <v>635</v>
      </c>
      <c r="S87" s="220"/>
      <c r="T87" s="220"/>
      <c r="U87" s="220"/>
      <c r="V87" s="223"/>
    </row>
    <row r="88" spans="2:22" x14ac:dyDescent="0.3">
      <c r="B88" t="str">
        <f t="shared" si="4"/>
        <v>Champagne-ArdenneNoyer</v>
      </c>
      <c r="C88" t="str">
        <f t="shared" si="5"/>
        <v>Champagne-ArdenneNoyerAutres</v>
      </c>
      <c r="E88" s="230" t="s">
        <v>17</v>
      </c>
      <c r="F88" s="135" t="s">
        <v>154</v>
      </c>
      <c r="G88" s="135" t="s">
        <v>170</v>
      </c>
      <c r="H88" s="220">
        <v>0.01</v>
      </c>
      <c r="I88" s="220">
        <v>0.33</v>
      </c>
      <c r="J88" s="220">
        <v>5.14</v>
      </c>
      <c r="K88" s="223">
        <v>9.34</v>
      </c>
      <c r="L88" s="196"/>
      <c r="M88" s="289" t="str">
        <f t="shared" si="6"/>
        <v>Champagne-ArdenneNoyer</v>
      </c>
      <c r="N88" s="289" t="str">
        <f t="shared" si="7"/>
        <v>Champagne-ArdenneNoyerAutres</v>
      </c>
      <c r="P88" s="240" t="s">
        <v>17</v>
      </c>
      <c r="Q88" s="241" t="s">
        <v>154</v>
      </c>
      <c r="R88" s="241" t="s">
        <v>170</v>
      </c>
      <c r="S88" s="220"/>
      <c r="T88" s="220"/>
      <c r="U88" s="220"/>
      <c r="V88" s="223"/>
    </row>
    <row r="89" spans="2:22" x14ac:dyDescent="0.3">
      <c r="B89" t="str">
        <f t="shared" si="4"/>
        <v>Champagne-ArdennePêcher</v>
      </c>
      <c r="C89" t="str">
        <f t="shared" si="5"/>
        <v>Champagne-ArdennePêcherNectarinier-Pêcher</v>
      </c>
      <c r="E89" s="230" t="s">
        <v>17</v>
      </c>
      <c r="F89" s="135" t="s">
        <v>158</v>
      </c>
      <c r="G89" s="135" t="s">
        <v>635</v>
      </c>
      <c r="H89" s="220">
        <v>0.03</v>
      </c>
      <c r="I89" s="220">
        <v>0.84</v>
      </c>
      <c r="J89" s="220">
        <v>9.25</v>
      </c>
      <c r="K89" s="223">
        <v>19.38</v>
      </c>
      <c r="L89" s="196"/>
      <c r="M89" s="289" t="str">
        <f t="shared" si="6"/>
        <v>Champagne-ArdennePêcher</v>
      </c>
      <c r="N89" s="289" t="str">
        <f t="shared" si="7"/>
        <v>Champagne-ArdennePêcherNectarinier-Pêcher</v>
      </c>
      <c r="P89" s="240" t="s">
        <v>17</v>
      </c>
      <c r="Q89" s="241" t="s">
        <v>158</v>
      </c>
      <c r="R89" s="241" t="s">
        <v>635</v>
      </c>
      <c r="S89" s="220"/>
      <c r="T89" s="220"/>
      <c r="U89" s="220"/>
      <c r="V89" s="223"/>
    </row>
    <row r="90" spans="2:22" x14ac:dyDescent="0.3">
      <c r="B90" t="str">
        <f t="shared" si="4"/>
        <v>Champagne-ArdennePoirier</v>
      </c>
      <c r="C90" t="str">
        <f t="shared" si="5"/>
        <v>Champagne-ArdennePoirierAutres</v>
      </c>
      <c r="E90" s="230" t="s">
        <v>17</v>
      </c>
      <c r="F90" s="135" t="s">
        <v>159</v>
      </c>
      <c r="G90" s="135" t="s">
        <v>170</v>
      </c>
      <c r="H90" s="220">
        <v>0.01</v>
      </c>
      <c r="I90" s="220">
        <v>0.33</v>
      </c>
      <c r="J90" s="220">
        <v>5.14</v>
      </c>
      <c r="K90" s="223">
        <v>9.34</v>
      </c>
      <c r="L90" s="196"/>
      <c r="M90" s="289" t="str">
        <f t="shared" si="6"/>
        <v>Champagne-ArdennePoirier</v>
      </c>
      <c r="N90" s="289" t="str">
        <f t="shared" si="7"/>
        <v>Champagne-ArdennePoirierAutres</v>
      </c>
      <c r="P90" s="240" t="s">
        <v>17</v>
      </c>
      <c r="Q90" s="241" t="s">
        <v>159</v>
      </c>
      <c r="R90" s="241" t="s">
        <v>170</v>
      </c>
      <c r="S90" s="220"/>
      <c r="T90" s="220"/>
      <c r="U90" s="220"/>
      <c r="V90" s="223"/>
    </row>
    <row r="91" spans="2:22" x14ac:dyDescent="0.3">
      <c r="B91" t="str">
        <f t="shared" si="4"/>
        <v>Champagne-ArdennePommier</v>
      </c>
      <c r="C91" t="str">
        <f t="shared" si="5"/>
        <v>Champagne-ArdennePommierPommier</v>
      </c>
      <c r="E91" s="230" t="s">
        <v>17</v>
      </c>
      <c r="F91" s="135" t="s">
        <v>161</v>
      </c>
      <c r="G91" s="135" t="s">
        <v>161</v>
      </c>
      <c r="H91" s="220">
        <v>0.03</v>
      </c>
      <c r="I91" s="220">
        <v>0.84</v>
      </c>
      <c r="J91" s="220">
        <v>9.25</v>
      </c>
      <c r="K91" s="223">
        <v>19.38</v>
      </c>
      <c r="L91" s="196"/>
      <c r="M91" s="289" t="str">
        <f t="shared" si="6"/>
        <v>Champagne-ArdennePommier</v>
      </c>
      <c r="N91" s="289" t="str">
        <f t="shared" si="7"/>
        <v>Champagne-ArdennePommierPommier</v>
      </c>
      <c r="P91" s="240" t="s">
        <v>17</v>
      </c>
      <c r="Q91" s="241" t="s">
        <v>161</v>
      </c>
      <c r="R91" s="241" t="s">
        <v>161</v>
      </c>
      <c r="S91" s="220"/>
      <c r="T91" s="220"/>
      <c r="U91" s="220"/>
      <c r="V91" s="223"/>
    </row>
    <row r="92" spans="2:22" ht="15" thickBot="1" x14ac:dyDescent="0.35">
      <c r="B92" t="str">
        <f t="shared" si="4"/>
        <v>Champagne-ArdennePrunier</v>
      </c>
      <c r="C92" t="str">
        <f t="shared" si="5"/>
        <v>Champagne-ArdennePrunierAutres</v>
      </c>
      <c r="E92" s="231" t="s">
        <v>17</v>
      </c>
      <c r="F92" s="232" t="s">
        <v>162</v>
      </c>
      <c r="G92" s="232" t="s">
        <v>170</v>
      </c>
      <c r="H92" s="222">
        <v>0.01</v>
      </c>
      <c r="I92" s="222">
        <v>0.33</v>
      </c>
      <c r="J92" s="222">
        <v>5.14</v>
      </c>
      <c r="K92" s="224">
        <v>9.34</v>
      </c>
      <c r="L92" s="196"/>
      <c r="M92" s="289" t="str">
        <f t="shared" si="6"/>
        <v>Champagne-ArdennePrunier</v>
      </c>
      <c r="N92" s="289" t="str">
        <f t="shared" si="7"/>
        <v>Champagne-ArdennePrunierAutres</v>
      </c>
      <c r="P92" s="242" t="s">
        <v>17</v>
      </c>
      <c r="Q92" s="243" t="s">
        <v>162</v>
      </c>
      <c r="R92" s="243" t="s">
        <v>170</v>
      </c>
      <c r="S92" s="222"/>
      <c r="T92" s="222"/>
      <c r="U92" s="222"/>
      <c r="V92" s="224"/>
    </row>
    <row r="93" spans="2:22" ht="15" thickTop="1" x14ac:dyDescent="0.3">
      <c r="B93" t="str">
        <f t="shared" si="4"/>
        <v>CorseAbricotier</v>
      </c>
      <c r="C93" t="str">
        <f t="shared" si="5"/>
        <v>CorseAbricotierAbricotier</v>
      </c>
      <c r="E93" s="230" t="s">
        <v>18</v>
      </c>
      <c r="F93" s="135" t="s">
        <v>127</v>
      </c>
      <c r="G93" s="135" t="s">
        <v>127</v>
      </c>
      <c r="H93" s="220">
        <v>0.01</v>
      </c>
      <c r="I93" s="220">
        <v>0.62</v>
      </c>
      <c r="J93" s="220">
        <v>5.1100000000000003</v>
      </c>
      <c r="K93" s="223">
        <v>10.66</v>
      </c>
      <c r="L93" s="196"/>
      <c r="M93" s="289" t="str">
        <f t="shared" si="6"/>
        <v>CorseAbricotier</v>
      </c>
      <c r="N93" s="289" t="str">
        <f t="shared" si="7"/>
        <v>CorseAbricotierAbricotier</v>
      </c>
      <c r="P93" s="240" t="s">
        <v>18</v>
      </c>
      <c r="Q93" s="241" t="s">
        <v>127</v>
      </c>
      <c r="R93" s="241" t="s">
        <v>127</v>
      </c>
      <c r="S93" s="220"/>
      <c r="T93" s="220"/>
      <c r="U93" s="220"/>
      <c r="V93" s="223"/>
    </row>
    <row r="94" spans="2:22" x14ac:dyDescent="0.3">
      <c r="B94" t="str">
        <f t="shared" si="4"/>
        <v>CorseAgrumes</v>
      </c>
      <c r="C94" t="str">
        <f t="shared" si="5"/>
        <v>CorseAgrumesClémentinier</v>
      </c>
      <c r="E94" s="230" t="s">
        <v>18</v>
      </c>
      <c r="F94" s="135" t="s">
        <v>634</v>
      </c>
      <c r="G94" s="135" t="s">
        <v>135</v>
      </c>
      <c r="H94" s="220">
        <v>0</v>
      </c>
      <c r="I94" s="220">
        <v>0.3</v>
      </c>
      <c r="J94" s="220">
        <v>2</v>
      </c>
      <c r="K94" s="223">
        <v>5</v>
      </c>
      <c r="L94" s="196"/>
      <c r="M94" s="289" t="str">
        <f t="shared" si="6"/>
        <v>CorseAgrumes</v>
      </c>
      <c r="N94" s="289" t="str">
        <f t="shared" si="7"/>
        <v>CorseAgrumesClémentinier</v>
      </c>
      <c r="P94" s="240" t="s">
        <v>18</v>
      </c>
      <c r="Q94" s="241" t="s">
        <v>634</v>
      </c>
      <c r="R94" s="241" t="s">
        <v>135</v>
      </c>
      <c r="S94" s="220"/>
      <c r="T94" s="220"/>
      <c r="U94" s="220"/>
      <c r="V94" s="223"/>
    </row>
    <row r="95" spans="2:22" x14ac:dyDescent="0.3">
      <c r="B95" t="str">
        <f t="shared" si="4"/>
        <v>CorseAutres</v>
      </c>
      <c r="C95" t="str">
        <f t="shared" si="5"/>
        <v>CorseAutresPrunier</v>
      </c>
      <c r="E95" s="230" t="s">
        <v>18</v>
      </c>
      <c r="F95" s="135" t="s">
        <v>170</v>
      </c>
      <c r="G95" s="135" t="s">
        <v>162</v>
      </c>
      <c r="H95" s="220">
        <v>0.01</v>
      </c>
      <c r="I95" s="220">
        <v>0.33</v>
      </c>
      <c r="J95" s="220">
        <v>5.14</v>
      </c>
      <c r="K95" s="223">
        <v>9.34</v>
      </c>
      <c r="L95" s="196"/>
      <c r="M95" s="289" t="str">
        <f t="shared" si="6"/>
        <v>CorseAutres</v>
      </c>
      <c r="N95" s="289" t="str">
        <f t="shared" si="7"/>
        <v>CorseAutresPrunier</v>
      </c>
      <c r="P95" s="240" t="s">
        <v>18</v>
      </c>
      <c r="Q95" s="241" t="s">
        <v>170</v>
      </c>
      <c r="R95" s="241" t="s">
        <v>162</v>
      </c>
      <c r="S95" s="220"/>
      <c r="T95" s="220"/>
      <c r="U95" s="220"/>
      <c r="V95" s="223"/>
    </row>
    <row r="96" spans="2:22" x14ac:dyDescent="0.3">
      <c r="B96" t="str">
        <f t="shared" si="4"/>
        <v>CorseCerisier</v>
      </c>
      <c r="C96" t="str">
        <f t="shared" si="5"/>
        <v>CorseCerisierCerisier</v>
      </c>
      <c r="E96" s="230" t="s">
        <v>18</v>
      </c>
      <c r="F96" s="135" t="s">
        <v>132</v>
      </c>
      <c r="G96" s="135" t="s">
        <v>132</v>
      </c>
      <c r="H96" s="220">
        <v>0</v>
      </c>
      <c r="I96" s="220">
        <v>0.36</v>
      </c>
      <c r="J96" s="220">
        <v>4.0599999999999996</v>
      </c>
      <c r="K96" s="223">
        <v>8.0299999999999994</v>
      </c>
      <c r="L96" s="196"/>
      <c r="M96" s="289" t="str">
        <f t="shared" si="6"/>
        <v>CorseCerisier</v>
      </c>
      <c r="N96" s="289" t="str">
        <f t="shared" si="7"/>
        <v>CorseCerisierCerisier</v>
      </c>
      <c r="P96" s="240" t="s">
        <v>18</v>
      </c>
      <c r="Q96" s="241" t="s">
        <v>132</v>
      </c>
      <c r="R96" s="241" t="s">
        <v>132</v>
      </c>
      <c r="S96" s="220"/>
      <c r="T96" s="220"/>
      <c r="U96" s="220"/>
      <c r="V96" s="223"/>
    </row>
    <row r="97" spans="2:22" x14ac:dyDescent="0.3">
      <c r="B97" t="str">
        <f t="shared" si="4"/>
        <v>CorseMirabellier</v>
      </c>
      <c r="C97" t="str">
        <f t="shared" si="5"/>
        <v>CorseMirabellierAutres</v>
      </c>
      <c r="E97" s="230" t="s">
        <v>18</v>
      </c>
      <c r="F97" s="135" t="s">
        <v>145</v>
      </c>
      <c r="G97" s="135" t="s">
        <v>170</v>
      </c>
      <c r="H97" s="220">
        <v>0.01</v>
      </c>
      <c r="I97" s="220">
        <v>0.33</v>
      </c>
      <c r="J97" s="220">
        <v>5.14</v>
      </c>
      <c r="K97" s="223">
        <v>9.34</v>
      </c>
      <c r="L97" s="196"/>
      <c r="M97" s="289" t="str">
        <f t="shared" si="6"/>
        <v>CorseMirabellier</v>
      </c>
      <c r="N97" s="289" t="str">
        <f t="shared" si="7"/>
        <v>CorseMirabellierAutres</v>
      </c>
      <c r="P97" s="240" t="s">
        <v>18</v>
      </c>
      <c r="Q97" s="241" t="s">
        <v>145</v>
      </c>
      <c r="R97" s="241" t="s">
        <v>170</v>
      </c>
      <c r="S97" s="220"/>
      <c r="T97" s="220"/>
      <c r="U97" s="220"/>
      <c r="V97" s="223"/>
    </row>
    <row r="98" spans="2:22" x14ac:dyDescent="0.3">
      <c r="B98" t="str">
        <f t="shared" si="4"/>
        <v>CorseNectarinier</v>
      </c>
      <c r="C98" t="str">
        <f t="shared" si="5"/>
        <v>CorseNectarinierNectarinier-Pêcher</v>
      </c>
      <c r="E98" s="230" t="s">
        <v>18</v>
      </c>
      <c r="F98" s="135" t="s">
        <v>151</v>
      </c>
      <c r="G98" s="135" t="s">
        <v>635</v>
      </c>
      <c r="H98" s="220">
        <v>0.03</v>
      </c>
      <c r="I98" s="220">
        <v>0.84</v>
      </c>
      <c r="J98" s="220">
        <v>9.25</v>
      </c>
      <c r="K98" s="223">
        <v>19.38</v>
      </c>
      <c r="L98" s="196"/>
      <c r="M98" s="289" t="str">
        <f t="shared" si="6"/>
        <v>CorseNectarinier</v>
      </c>
      <c r="N98" s="289" t="str">
        <f t="shared" si="7"/>
        <v>CorseNectarinierNectarinier-Pêcher</v>
      </c>
      <c r="P98" s="240" t="s">
        <v>18</v>
      </c>
      <c r="Q98" s="241" t="s">
        <v>151</v>
      </c>
      <c r="R98" s="241" t="s">
        <v>635</v>
      </c>
      <c r="S98" s="220"/>
      <c r="T98" s="220"/>
      <c r="U98" s="220"/>
      <c r="V98" s="223"/>
    </row>
    <row r="99" spans="2:22" x14ac:dyDescent="0.3">
      <c r="B99" t="str">
        <f t="shared" si="4"/>
        <v>CorseNoyer</v>
      </c>
      <c r="C99" t="str">
        <f t="shared" si="5"/>
        <v>CorseNoyerAutres</v>
      </c>
      <c r="E99" s="230" t="s">
        <v>18</v>
      </c>
      <c r="F99" s="135" t="s">
        <v>154</v>
      </c>
      <c r="G99" s="135" t="s">
        <v>170</v>
      </c>
      <c r="H99" s="220">
        <v>0.01</v>
      </c>
      <c r="I99" s="220">
        <v>0.33</v>
      </c>
      <c r="J99" s="220">
        <v>5.14</v>
      </c>
      <c r="K99" s="223">
        <v>9.34</v>
      </c>
      <c r="L99" s="196"/>
      <c r="M99" s="289" t="str">
        <f t="shared" si="6"/>
        <v>CorseNoyer</v>
      </c>
      <c r="N99" s="289" t="str">
        <f t="shared" si="7"/>
        <v>CorseNoyerAutres</v>
      </c>
      <c r="P99" s="240" t="s">
        <v>18</v>
      </c>
      <c r="Q99" s="241" t="s">
        <v>154</v>
      </c>
      <c r="R99" s="241" t="s">
        <v>170</v>
      </c>
      <c r="S99" s="220"/>
      <c r="T99" s="220"/>
      <c r="U99" s="220"/>
      <c r="V99" s="223"/>
    </row>
    <row r="100" spans="2:22" x14ac:dyDescent="0.3">
      <c r="B100" t="str">
        <f t="shared" si="4"/>
        <v>CorsePêcher</v>
      </c>
      <c r="C100" t="str">
        <f t="shared" si="5"/>
        <v>CorsePêcherNectarinier-Pêcher</v>
      </c>
      <c r="E100" s="230" t="s">
        <v>18</v>
      </c>
      <c r="F100" s="135" t="s">
        <v>158</v>
      </c>
      <c r="G100" s="135" t="s">
        <v>635</v>
      </c>
      <c r="H100" s="220">
        <v>0.03</v>
      </c>
      <c r="I100" s="220">
        <v>0.84</v>
      </c>
      <c r="J100" s="220">
        <v>9.25</v>
      </c>
      <c r="K100" s="223">
        <v>19.38</v>
      </c>
      <c r="L100" s="196"/>
      <c r="M100" s="289" t="str">
        <f t="shared" si="6"/>
        <v>CorsePêcher</v>
      </c>
      <c r="N100" s="289" t="str">
        <f t="shared" si="7"/>
        <v>CorsePêcherNectarinier-Pêcher</v>
      </c>
      <c r="P100" s="240" t="s">
        <v>18</v>
      </c>
      <c r="Q100" s="241" t="s">
        <v>158</v>
      </c>
      <c r="R100" s="241" t="s">
        <v>635</v>
      </c>
      <c r="S100" s="220"/>
      <c r="T100" s="220"/>
      <c r="U100" s="220"/>
      <c r="V100" s="223"/>
    </row>
    <row r="101" spans="2:22" x14ac:dyDescent="0.3">
      <c r="B101" t="str">
        <f t="shared" si="4"/>
        <v>CorsePoirier</v>
      </c>
      <c r="C101" t="str">
        <f t="shared" si="5"/>
        <v>CorsePoirierAutres</v>
      </c>
      <c r="E101" s="230" t="s">
        <v>18</v>
      </c>
      <c r="F101" s="135" t="s">
        <v>159</v>
      </c>
      <c r="G101" s="135" t="s">
        <v>170</v>
      </c>
      <c r="H101" s="220">
        <v>0.01</v>
      </c>
      <c r="I101" s="220">
        <v>0.33</v>
      </c>
      <c r="J101" s="220">
        <v>5.14</v>
      </c>
      <c r="K101" s="223">
        <v>9.34</v>
      </c>
      <c r="L101" s="196"/>
      <c r="M101" s="289" t="str">
        <f t="shared" si="6"/>
        <v>CorsePoirier</v>
      </c>
      <c r="N101" s="289" t="str">
        <f t="shared" si="7"/>
        <v>CorsePoirierAutres</v>
      </c>
      <c r="P101" s="240" t="s">
        <v>18</v>
      </c>
      <c r="Q101" s="241" t="s">
        <v>159</v>
      </c>
      <c r="R101" s="241" t="s">
        <v>170</v>
      </c>
      <c r="S101" s="220"/>
      <c r="T101" s="220"/>
      <c r="U101" s="220"/>
      <c r="V101" s="223"/>
    </row>
    <row r="102" spans="2:22" x14ac:dyDescent="0.3">
      <c r="B102" t="str">
        <f t="shared" si="4"/>
        <v>CorsePommier</v>
      </c>
      <c r="C102" t="str">
        <f t="shared" si="5"/>
        <v>CorsePommierPommier</v>
      </c>
      <c r="E102" s="230" t="s">
        <v>18</v>
      </c>
      <c r="F102" s="135" t="s">
        <v>161</v>
      </c>
      <c r="G102" s="135" t="s">
        <v>161</v>
      </c>
      <c r="H102" s="220">
        <v>0.03</v>
      </c>
      <c r="I102" s="220">
        <v>0.84</v>
      </c>
      <c r="J102" s="220">
        <v>9.25</v>
      </c>
      <c r="K102" s="223">
        <v>19.38</v>
      </c>
      <c r="L102" s="196"/>
      <c r="M102" s="289" t="str">
        <f t="shared" si="6"/>
        <v>CorsePommier</v>
      </c>
      <c r="N102" s="289" t="str">
        <f t="shared" si="7"/>
        <v>CorsePommierPommier</v>
      </c>
      <c r="P102" s="240" t="s">
        <v>18</v>
      </c>
      <c r="Q102" s="241" t="s">
        <v>161</v>
      </c>
      <c r="R102" s="241" t="s">
        <v>161</v>
      </c>
      <c r="S102" s="220"/>
      <c r="T102" s="220"/>
      <c r="U102" s="220"/>
      <c r="V102" s="223"/>
    </row>
    <row r="103" spans="2:22" ht="15" thickBot="1" x14ac:dyDescent="0.35">
      <c r="B103" t="str">
        <f t="shared" si="4"/>
        <v>CorsePrunier</v>
      </c>
      <c r="C103" t="str">
        <f t="shared" si="5"/>
        <v>CorsePrunierAutres</v>
      </c>
      <c r="E103" s="231" t="s">
        <v>18</v>
      </c>
      <c r="F103" s="232" t="s">
        <v>162</v>
      </c>
      <c r="G103" s="232" t="s">
        <v>170</v>
      </c>
      <c r="H103" s="222">
        <v>0.01</v>
      </c>
      <c r="I103" s="222">
        <v>0.33</v>
      </c>
      <c r="J103" s="222">
        <v>5.14</v>
      </c>
      <c r="K103" s="224">
        <v>9.34</v>
      </c>
      <c r="L103" s="196"/>
      <c r="M103" s="289" t="str">
        <f t="shared" si="6"/>
        <v>CorsePrunier</v>
      </c>
      <c r="N103" s="289" t="str">
        <f t="shared" si="7"/>
        <v>CorsePrunierAutres</v>
      </c>
      <c r="P103" s="242" t="s">
        <v>18</v>
      </c>
      <c r="Q103" s="243" t="s">
        <v>162</v>
      </c>
      <c r="R103" s="243" t="s">
        <v>170</v>
      </c>
      <c r="S103" s="222"/>
      <c r="T103" s="222"/>
      <c r="U103" s="222"/>
      <c r="V103" s="224"/>
    </row>
    <row r="104" spans="2:22" ht="15" thickTop="1" x14ac:dyDescent="0.3">
      <c r="B104" t="str">
        <f t="shared" si="4"/>
        <v>Franche-ComtéAbricotier</v>
      </c>
      <c r="C104" t="str">
        <f t="shared" si="5"/>
        <v>Franche-ComtéAbricotierAbricotier</v>
      </c>
      <c r="E104" s="230" t="s">
        <v>19</v>
      </c>
      <c r="F104" s="135" t="s">
        <v>127</v>
      </c>
      <c r="G104" s="135" t="s">
        <v>127</v>
      </c>
      <c r="H104" s="220">
        <v>0.01</v>
      </c>
      <c r="I104" s="220">
        <v>0.62</v>
      </c>
      <c r="J104" s="220">
        <v>5.1100000000000003</v>
      </c>
      <c r="K104" s="223">
        <v>10.66</v>
      </c>
      <c r="L104" s="196"/>
      <c r="M104" s="289" t="str">
        <f t="shared" si="6"/>
        <v>Franche-ComtéAbricotier</v>
      </c>
      <c r="N104" s="289" t="str">
        <f t="shared" si="7"/>
        <v>Franche-ComtéAbricotierAbricotier</v>
      </c>
      <c r="P104" s="240" t="s">
        <v>19</v>
      </c>
      <c r="Q104" s="241" t="s">
        <v>127</v>
      </c>
      <c r="R104" s="241" t="s">
        <v>127</v>
      </c>
      <c r="S104" s="220"/>
      <c r="T104" s="220"/>
      <c r="U104" s="220"/>
      <c r="V104" s="223"/>
    </row>
    <row r="105" spans="2:22" x14ac:dyDescent="0.3">
      <c r="B105" t="str">
        <f t="shared" si="4"/>
        <v>Franche-ComtéAgrumes</v>
      </c>
      <c r="C105" t="str">
        <f t="shared" si="5"/>
        <v>Franche-ComtéAgrumesClémentinier</v>
      </c>
      <c r="E105" s="230" t="s">
        <v>19</v>
      </c>
      <c r="F105" s="135" t="s">
        <v>634</v>
      </c>
      <c r="G105" s="135" t="s">
        <v>135</v>
      </c>
      <c r="H105" s="220">
        <v>0</v>
      </c>
      <c r="I105" s="220">
        <v>0.3</v>
      </c>
      <c r="J105" s="220">
        <v>2</v>
      </c>
      <c r="K105" s="223">
        <v>5</v>
      </c>
      <c r="L105" s="196"/>
      <c r="M105" s="289" t="str">
        <f t="shared" si="6"/>
        <v>Franche-ComtéAgrumes</v>
      </c>
      <c r="N105" s="289" t="str">
        <f t="shared" si="7"/>
        <v>Franche-ComtéAgrumesClémentinier</v>
      </c>
      <c r="P105" s="240" t="s">
        <v>19</v>
      </c>
      <c r="Q105" s="241" t="s">
        <v>634</v>
      </c>
      <c r="R105" s="241" t="s">
        <v>135</v>
      </c>
      <c r="S105" s="220"/>
      <c r="T105" s="220"/>
      <c r="U105" s="220"/>
      <c r="V105" s="223"/>
    </row>
    <row r="106" spans="2:22" x14ac:dyDescent="0.3">
      <c r="B106" t="str">
        <f t="shared" si="4"/>
        <v>Franche-ComtéAutres</v>
      </c>
      <c r="C106" t="str">
        <f t="shared" si="5"/>
        <v>Franche-ComtéAutresPrunier</v>
      </c>
      <c r="E106" s="230" t="s">
        <v>19</v>
      </c>
      <c r="F106" s="135" t="s">
        <v>170</v>
      </c>
      <c r="G106" s="135" t="s">
        <v>162</v>
      </c>
      <c r="H106" s="220">
        <v>0.01</v>
      </c>
      <c r="I106" s="220">
        <v>0.33</v>
      </c>
      <c r="J106" s="220">
        <v>5.14</v>
      </c>
      <c r="K106" s="223">
        <v>9.34</v>
      </c>
      <c r="L106" s="196"/>
      <c r="M106" s="289" t="str">
        <f t="shared" si="6"/>
        <v>Franche-ComtéAutres</v>
      </c>
      <c r="N106" s="289" t="str">
        <f t="shared" si="7"/>
        <v>Franche-ComtéAutresPrunier</v>
      </c>
      <c r="P106" s="240" t="s">
        <v>19</v>
      </c>
      <c r="Q106" s="241" t="s">
        <v>170</v>
      </c>
      <c r="R106" s="241" t="s">
        <v>162</v>
      </c>
      <c r="S106" s="220"/>
      <c r="T106" s="220"/>
      <c r="U106" s="220"/>
      <c r="V106" s="223"/>
    </row>
    <row r="107" spans="2:22" x14ac:dyDescent="0.3">
      <c r="B107" t="str">
        <f t="shared" si="4"/>
        <v>Franche-ComtéCerisier</v>
      </c>
      <c r="C107" t="str">
        <f t="shared" si="5"/>
        <v>Franche-ComtéCerisierCerisier</v>
      </c>
      <c r="E107" s="230" t="s">
        <v>19</v>
      </c>
      <c r="F107" s="135" t="s">
        <v>132</v>
      </c>
      <c r="G107" s="135" t="s">
        <v>132</v>
      </c>
      <c r="H107" s="220">
        <v>0</v>
      </c>
      <c r="I107" s="220">
        <v>0.36</v>
      </c>
      <c r="J107" s="220">
        <v>4.0599999999999996</v>
      </c>
      <c r="K107" s="223">
        <v>8.0299999999999994</v>
      </c>
      <c r="L107" s="196"/>
      <c r="M107" s="289" t="str">
        <f t="shared" si="6"/>
        <v>Franche-ComtéCerisier</v>
      </c>
      <c r="N107" s="289" t="str">
        <f t="shared" si="7"/>
        <v>Franche-ComtéCerisierCerisier</v>
      </c>
      <c r="P107" s="240" t="s">
        <v>19</v>
      </c>
      <c r="Q107" s="241" t="s">
        <v>132</v>
      </c>
      <c r="R107" s="241" t="s">
        <v>132</v>
      </c>
      <c r="S107" s="220"/>
      <c r="T107" s="220"/>
      <c r="U107" s="220"/>
      <c r="V107" s="223"/>
    </row>
    <row r="108" spans="2:22" x14ac:dyDescent="0.3">
      <c r="B108" t="str">
        <f t="shared" si="4"/>
        <v>Franche-ComtéMirabellier</v>
      </c>
      <c r="C108" t="str">
        <f t="shared" si="5"/>
        <v>Franche-ComtéMirabellierAutres</v>
      </c>
      <c r="E108" s="230" t="s">
        <v>19</v>
      </c>
      <c r="F108" s="135" t="s">
        <v>145</v>
      </c>
      <c r="G108" s="135" t="s">
        <v>170</v>
      </c>
      <c r="H108" s="220">
        <v>0.01</v>
      </c>
      <c r="I108" s="220">
        <v>0.33</v>
      </c>
      <c r="J108" s="220">
        <v>5.14</v>
      </c>
      <c r="K108" s="223">
        <v>9.34</v>
      </c>
      <c r="L108" s="196"/>
      <c r="M108" s="289" t="str">
        <f t="shared" si="6"/>
        <v>Franche-ComtéMirabellier</v>
      </c>
      <c r="N108" s="289" t="str">
        <f t="shared" si="7"/>
        <v>Franche-ComtéMirabellierAutres</v>
      </c>
      <c r="P108" s="240" t="s">
        <v>19</v>
      </c>
      <c r="Q108" s="241" t="s">
        <v>145</v>
      </c>
      <c r="R108" s="241" t="s">
        <v>170</v>
      </c>
      <c r="S108" s="220"/>
      <c r="T108" s="220"/>
      <c r="U108" s="220"/>
      <c r="V108" s="223"/>
    </row>
    <row r="109" spans="2:22" x14ac:dyDescent="0.3">
      <c r="B109" t="str">
        <f t="shared" si="4"/>
        <v>Franche-ComtéNectarinier</v>
      </c>
      <c r="C109" t="str">
        <f t="shared" si="5"/>
        <v>Franche-ComtéNectarinierNectarinier-Pêcher</v>
      </c>
      <c r="E109" s="230" t="s">
        <v>19</v>
      </c>
      <c r="F109" s="135" t="s">
        <v>151</v>
      </c>
      <c r="G109" s="135" t="s">
        <v>635</v>
      </c>
      <c r="H109" s="220">
        <v>0.03</v>
      </c>
      <c r="I109" s="220">
        <v>0.84</v>
      </c>
      <c r="J109" s="220">
        <v>9.25</v>
      </c>
      <c r="K109" s="223">
        <v>19.38</v>
      </c>
      <c r="L109" s="196"/>
      <c r="M109" s="289" t="str">
        <f t="shared" si="6"/>
        <v>Franche-ComtéNectarinier</v>
      </c>
      <c r="N109" s="289" t="str">
        <f t="shared" si="7"/>
        <v>Franche-ComtéNectarinierNectarinier-Pêcher</v>
      </c>
      <c r="P109" s="240" t="s">
        <v>19</v>
      </c>
      <c r="Q109" s="241" t="s">
        <v>151</v>
      </c>
      <c r="R109" s="241" t="s">
        <v>635</v>
      </c>
      <c r="S109" s="220"/>
      <c r="T109" s="220"/>
      <c r="U109" s="220"/>
      <c r="V109" s="223"/>
    </row>
    <row r="110" spans="2:22" x14ac:dyDescent="0.3">
      <c r="B110" t="str">
        <f t="shared" si="4"/>
        <v>Franche-ComtéNoyer</v>
      </c>
      <c r="C110" t="str">
        <f t="shared" si="5"/>
        <v>Franche-ComtéNoyerAutres</v>
      </c>
      <c r="E110" s="230" t="s">
        <v>19</v>
      </c>
      <c r="F110" s="135" t="s">
        <v>154</v>
      </c>
      <c r="G110" s="135" t="s">
        <v>170</v>
      </c>
      <c r="H110" s="220">
        <v>0.01</v>
      </c>
      <c r="I110" s="220">
        <v>0.33</v>
      </c>
      <c r="J110" s="220">
        <v>5.14</v>
      </c>
      <c r="K110" s="223">
        <v>9.34</v>
      </c>
      <c r="L110" s="196"/>
      <c r="M110" s="289" t="str">
        <f t="shared" si="6"/>
        <v>Franche-ComtéNoyer</v>
      </c>
      <c r="N110" s="289" t="str">
        <f t="shared" si="7"/>
        <v>Franche-ComtéNoyerAutres</v>
      </c>
      <c r="P110" s="240" t="s">
        <v>19</v>
      </c>
      <c r="Q110" s="241" t="s">
        <v>154</v>
      </c>
      <c r="R110" s="241" t="s">
        <v>170</v>
      </c>
      <c r="S110" s="220"/>
      <c r="T110" s="220"/>
      <c r="U110" s="220"/>
      <c r="V110" s="223"/>
    </row>
    <row r="111" spans="2:22" x14ac:dyDescent="0.3">
      <c r="B111" t="str">
        <f t="shared" si="4"/>
        <v>Franche-ComtéPêcher</v>
      </c>
      <c r="C111" t="str">
        <f t="shared" si="5"/>
        <v>Franche-ComtéPêcherNectarinier-Pêcher</v>
      </c>
      <c r="E111" s="230" t="s">
        <v>19</v>
      </c>
      <c r="F111" s="135" t="s">
        <v>158</v>
      </c>
      <c r="G111" s="135" t="s">
        <v>635</v>
      </c>
      <c r="H111" s="220">
        <v>0.03</v>
      </c>
      <c r="I111" s="220">
        <v>0.84</v>
      </c>
      <c r="J111" s="220">
        <v>9.25</v>
      </c>
      <c r="K111" s="223">
        <v>19.38</v>
      </c>
      <c r="L111" s="196"/>
      <c r="M111" s="289" t="str">
        <f t="shared" si="6"/>
        <v>Franche-ComtéPêcher</v>
      </c>
      <c r="N111" s="289" t="str">
        <f t="shared" si="7"/>
        <v>Franche-ComtéPêcherNectarinier-Pêcher</v>
      </c>
      <c r="P111" s="240" t="s">
        <v>19</v>
      </c>
      <c r="Q111" s="241" t="s">
        <v>158</v>
      </c>
      <c r="R111" s="241" t="s">
        <v>635</v>
      </c>
      <c r="S111" s="220"/>
      <c r="T111" s="220"/>
      <c r="U111" s="220"/>
      <c r="V111" s="223"/>
    </row>
    <row r="112" spans="2:22" x14ac:dyDescent="0.3">
      <c r="B112" t="str">
        <f t="shared" si="4"/>
        <v>Franche-ComtéPoirier</v>
      </c>
      <c r="C112" t="str">
        <f t="shared" si="5"/>
        <v>Franche-ComtéPoirierAutres</v>
      </c>
      <c r="E112" s="230" t="s">
        <v>19</v>
      </c>
      <c r="F112" s="135" t="s">
        <v>159</v>
      </c>
      <c r="G112" s="135" t="s">
        <v>170</v>
      </c>
      <c r="H112" s="220">
        <v>0.01</v>
      </c>
      <c r="I112" s="220">
        <v>0.33</v>
      </c>
      <c r="J112" s="220">
        <v>5.14</v>
      </c>
      <c r="K112" s="223">
        <v>9.34</v>
      </c>
      <c r="L112" s="196"/>
      <c r="M112" s="289" t="str">
        <f t="shared" si="6"/>
        <v>Franche-ComtéPoirier</v>
      </c>
      <c r="N112" s="289" t="str">
        <f t="shared" si="7"/>
        <v>Franche-ComtéPoirierAutres</v>
      </c>
      <c r="P112" s="240" t="s">
        <v>19</v>
      </c>
      <c r="Q112" s="241" t="s">
        <v>159</v>
      </c>
      <c r="R112" s="241" t="s">
        <v>170</v>
      </c>
      <c r="S112" s="220"/>
      <c r="T112" s="220"/>
      <c r="U112" s="220"/>
      <c r="V112" s="223"/>
    </row>
    <row r="113" spans="2:22" x14ac:dyDescent="0.3">
      <c r="B113" t="str">
        <f t="shared" si="4"/>
        <v>Franche-ComtéPommier</v>
      </c>
      <c r="C113" t="str">
        <f t="shared" si="5"/>
        <v>Franche-ComtéPommierPommier</v>
      </c>
      <c r="E113" s="230" t="s">
        <v>19</v>
      </c>
      <c r="F113" s="135" t="s">
        <v>161</v>
      </c>
      <c r="G113" s="135" t="s">
        <v>161</v>
      </c>
      <c r="H113" s="220">
        <v>0.03</v>
      </c>
      <c r="I113" s="220">
        <v>0.84</v>
      </c>
      <c r="J113" s="220">
        <v>9.25</v>
      </c>
      <c r="K113" s="223">
        <v>19.38</v>
      </c>
      <c r="L113" s="196"/>
      <c r="M113" s="289" t="str">
        <f t="shared" si="6"/>
        <v>Franche-ComtéPommier</v>
      </c>
      <c r="N113" s="289" t="str">
        <f t="shared" si="7"/>
        <v>Franche-ComtéPommierPommier</v>
      </c>
      <c r="P113" s="240" t="s">
        <v>19</v>
      </c>
      <c r="Q113" s="241" t="s">
        <v>161</v>
      </c>
      <c r="R113" s="241" t="s">
        <v>161</v>
      </c>
      <c r="S113" s="220"/>
      <c r="T113" s="220"/>
      <c r="U113" s="220"/>
      <c r="V113" s="223"/>
    </row>
    <row r="114" spans="2:22" ht="15" thickBot="1" x14ac:dyDescent="0.35">
      <c r="B114" t="str">
        <f t="shared" si="4"/>
        <v>Franche-ComtéPrunier</v>
      </c>
      <c r="C114" t="str">
        <f t="shared" si="5"/>
        <v>Franche-ComtéPrunierAutres</v>
      </c>
      <c r="E114" s="231" t="s">
        <v>19</v>
      </c>
      <c r="F114" s="232" t="s">
        <v>162</v>
      </c>
      <c r="G114" s="232" t="s">
        <v>170</v>
      </c>
      <c r="H114" s="222">
        <v>0.01</v>
      </c>
      <c r="I114" s="222">
        <v>0.33</v>
      </c>
      <c r="J114" s="222">
        <v>5.14</v>
      </c>
      <c r="K114" s="224">
        <v>9.34</v>
      </c>
      <c r="L114" s="196"/>
      <c r="M114" s="289" t="str">
        <f t="shared" si="6"/>
        <v>Franche-ComtéPrunier</v>
      </c>
      <c r="N114" s="289" t="str">
        <f t="shared" si="7"/>
        <v>Franche-ComtéPrunierAutres</v>
      </c>
      <c r="P114" s="242" t="s">
        <v>19</v>
      </c>
      <c r="Q114" s="243" t="s">
        <v>162</v>
      </c>
      <c r="R114" s="243" t="s">
        <v>170</v>
      </c>
      <c r="S114" s="222"/>
      <c r="T114" s="222"/>
      <c r="U114" s="222"/>
      <c r="V114" s="224"/>
    </row>
    <row r="115" spans="2:22" ht="15" thickTop="1" x14ac:dyDescent="0.3">
      <c r="B115" t="str">
        <f t="shared" si="4"/>
        <v>GuadeloupeAbricotier</v>
      </c>
      <c r="C115" t="str">
        <f t="shared" si="5"/>
        <v>GuadeloupeAbricotierBananier</v>
      </c>
      <c r="E115" s="230" t="s">
        <v>284</v>
      </c>
      <c r="F115" s="135" t="s">
        <v>127</v>
      </c>
      <c r="G115" s="135" t="s">
        <v>171</v>
      </c>
      <c r="H115" s="220">
        <v>0.57999999999999996</v>
      </c>
      <c r="I115" s="220">
        <v>1.99</v>
      </c>
      <c r="J115" s="220">
        <v>1.48</v>
      </c>
      <c r="K115" s="223">
        <v>4.67</v>
      </c>
      <c r="L115" s="196"/>
      <c r="M115" s="289" t="str">
        <f t="shared" si="6"/>
        <v>GuadeloupeAbricotier</v>
      </c>
      <c r="N115" s="289" t="str">
        <f t="shared" si="7"/>
        <v>GuadeloupeAbricotierBananier</v>
      </c>
      <c r="P115" s="240" t="s">
        <v>284</v>
      </c>
      <c r="Q115" s="241" t="s">
        <v>127</v>
      </c>
      <c r="R115" s="241" t="s">
        <v>171</v>
      </c>
      <c r="S115" s="220"/>
      <c r="T115" s="220"/>
      <c r="U115" s="220"/>
      <c r="V115" s="223"/>
    </row>
    <row r="116" spans="2:22" x14ac:dyDescent="0.3">
      <c r="B116" t="str">
        <f t="shared" si="4"/>
        <v>GuadeloupeAgrumes</v>
      </c>
      <c r="C116" t="str">
        <f t="shared" si="5"/>
        <v>GuadeloupeAgrumesBananier</v>
      </c>
      <c r="E116" s="230" t="s">
        <v>284</v>
      </c>
      <c r="F116" s="135" t="s">
        <v>634</v>
      </c>
      <c r="G116" s="135" t="s">
        <v>171</v>
      </c>
      <c r="H116" s="220">
        <v>0.57999999999999996</v>
      </c>
      <c r="I116" s="220">
        <v>1.99</v>
      </c>
      <c r="J116" s="220">
        <v>1.48</v>
      </c>
      <c r="K116" s="223">
        <v>4.67</v>
      </c>
      <c r="L116" s="196"/>
      <c r="M116" s="289" t="str">
        <f t="shared" si="6"/>
        <v>GuadeloupeAgrumes</v>
      </c>
      <c r="N116" s="289" t="str">
        <f t="shared" si="7"/>
        <v>GuadeloupeAgrumesBananier</v>
      </c>
      <c r="P116" s="240" t="s">
        <v>284</v>
      </c>
      <c r="Q116" s="241" t="s">
        <v>634</v>
      </c>
      <c r="R116" s="241" t="s">
        <v>171</v>
      </c>
      <c r="S116" s="220"/>
      <c r="T116" s="220"/>
      <c r="U116" s="220"/>
      <c r="V116" s="223"/>
    </row>
    <row r="117" spans="2:22" x14ac:dyDescent="0.3">
      <c r="B117" t="str">
        <f t="shared" si="4"/>
        <v>GuadeloupeAutres</v>
      </c>
      <c r="C117" t="str">
        <f t="shared" si="5"/>
        <v>GuadeloupeAutresBananier</v>
      </c>
      <c r="E117" s="230" t="s">
        <v>284</v>
      </c>
      <c r="F117" s="135" t="s">
        <v>170</v>
      </c>
      <c r="G117" s="135" t="s">
        <v>171</v>
      </c>
      <c r="H117" s="220">
        <v>0.57999999999999996</v>
      </c>
      <c r="I117" s="220">
        <v>1.99</v>
      </c>
      <c r="J117" s="220">
        <v>1.48</v>
      </c>
      <c r="K117" s="223">
        <v>4.67</v>
      </c>
      <c r="L117" s="196"/>
      <c r="M117" s="289" t="str">
        <f t="shared" si="6"/>
        <v>GuadeloupeAutres</v>
      </c>
      <c r="N117" s="289" t="str">
        <f t="shared" si="7"/>
        <v>GuadeloupeAutresBananier</v>
      </c>
      <c r="P117" s="240" t="s">
        <v>284</v>
      </c>
      <c r="Q117" s="241" t="s">
        <v>170</v>
      </c>
      <c r="R117" s="241" t="s">
        <v>171</v>
      </c>
      <c r="S117" s="220"/>
      <c r="T117" s="220"/>
      <c r="U117" s="220"/>
      <c r="V117" s="223"/>
    </row>
    <row r="118" spans="2:22" x14ac:dyDescent="0.3">
      <c r="B118" t="str">
        <f t="shared" si="4"/>
        <v>GuadeloupeBananier</v>
      </c>
      <c r="C118" t="str">
        <f t="shared" si="5"/>
        <v>GuadeloupeBananierBananier</v>
      </c>
      <c r="E118" s="230" t="s">
        <v>284</v>
      </c>
      <c r="F118" s="135" t="s">
        <v>171</v>
      </c>
      <c r="G118" s="135" t="s">
        <v>171</v>
      </c>
      <c r="H118" s="220">
        <v>0.57999999999999996</v>
      </c>
      <c r="I118" s="220">
        <v>1.99</v>
      </c>
      <c r="J118" s="220">
        <v>1.48</v>
      </c>
      <c r="K118" s="223">
        <v>4.67</v>
      </c>
      <c r="L118" s="196"/>
      <c r="M118" s="289" t="str">
        <f t="shared" si="6"/>
        <v>GuadeloupeBananier</v>
      </c>
      <c r="N118" s="289" t="str">
        <f t="shared" si="7"/>
        <v>GuadeloupeBananierBananier</v>
      </c>
      <c r="P118" s="240" t="s">
        <v>284</v>
      </c>
      <c r="Q118" s="241" t="s">
        <v>171</v>
      </c>
      <c r="R118" s="241" t="s">
        <v>171</v>
      </c>
      <c r="S118" s="220"/>
      <c r="T118" s="220"/>
      <c r="U118" s="220"/>
      <c r="V118" s="223"/>
    </row>
    <row r="119" spans="2:22" x14ac:dyDescent="0.3">
      <c r="B119" t="str">
        <f t="shared" si="4"/>
        <v>GuadeloupeCerisier</v>
      </c>
      <c r="C119" t="str">
        <f t="shared" si="5"/>
        <v>GuadeloupeCerisierBananier</v>
      </c>
      <c r="E119" s="230" t="s">
        <v>284</v>
      </c>
      <c r="F119" s="135" t="s">
        <v>132</v>
      </c>
      <c r="G119" s="135" t="s">
        <v>171</v>
      </c>
      <c r="H119" s="220">
        <v>0.57999999999999996</v>
      </c>
      <c r="I119" s="220">
        <v>1.99</v>
      </c>
      <c r="J119" s="220">
        <v>1.48</v>
      </c>
      <c r="K119" s="223">
        <v>4.67</v>
      </c>
      <c r="L119" s="196"/>
      <c r="M119" s="289" t="str">
        <f t="shared" si="6"/>
        <v>GuadeloupeCerisier</v>
      </c>
      <c r="N119" s="289" t="str">
        <f t="shared" si="7"/>
        <v>GuadeloupeCerisierBananier</v>
      </c>
      <c r="P119" s="240" t="s">
        <v>284</v>
      </c>
      <c r="Q119" s="241" t="s">
        <v>132</v>
      </c>
      <c r="R119" s="241" t="s">
        <v>171</v>
      </c>
      <c r="S119" s="220"/>
      <c r="T119" s="220"/>
      <c r="U119" s="220"/>
      <c r="V119" s="223"/>
    </row>
    <row r="120" spans="2:22" x14ac:dyDescent="0.3">
      <c r="B120" t="str">
        <f t="shared" si="4"/>
        <v>GuadeloupeMirabellier</v>
      </c>
      <c r="C120" t="str">
        <f t="shared" si="5"/>
        <v>GuadeloupeMirabellierBananier</v>
      </c>
      <c r="E120" s="230" t="s">
        <v>284</v>
      </c>
      <c r="F120" s="135" t="s">
        <v>145</v>
      </c>
      <c r="G120" s="135" t="s">
        <v>171</v>
      </c>
      <c r="H120" s="220">
        <v>0.57999999999999996</v>
      </c>
      <c r="I120" s="220">
        <v>1.99</v>
      </c>
      <c r="J120" s="220">
        <v>1.48</v>
      </c>
      <c r="K120" s="223">
        <v>4.67</v>
      </c>
      <c r="L120" s="196"/>
      <c r="M120" s="289" t="str">
        <f t="shared" si="6"/>
        <v>GuadeloupeMirabellier</v>
      </c>
      <c r="N120" s="289" t="str">
        <f t="shared" si="7"/>
        <v>GuadeloupeMirabellierBananier</v>
      </c>
      <c r="P120" s="240" t="s">
        <v>284</v>
      </c>
      <c r="Q120" s="241" t="s">
        <v>145</v>
      </c>
      <c r="R120" s="241" t="s">
        <v>171</v>
      </c>
      <c r="S120" s="220"/>
      <c r="T120" s="220"/>
      <c r="U120" s="220"/>
      <c r="V120" s="223"/>
    </row>
    <row r="121" spans="2:22" x14ac:dyDescent="0.3">
      <c r="B121" t="str">
        <f t="shared" si="4"/>
        <v>GuadeloupeNectarinier</v>
      </c>
      <c r="C121" t="str">
        <f t="shared" si="5"/>
        <v>GuadeloupeNectarinierBananier</v>
      </c>
      <c r="E121" s="230" t="s">
        <v>284</v>
      </c>
      <c r="F121" s="135" t="s">
        <v>151</v>
      </c>
      <c r="G121" s="135" t="s">
        <v>171</v>
      </c>
      <c r="H121" s="220">
        <v>0.57999999999999996</v>
      </c>
      <c r="I121" s="220">
        <v>1.99</v>
      </c>
      <c r="J121" s="220">
        <v>1.48</v>
      </c>
      <c r="K121" s="223">
        <v>4.67</v>
      </c>
      <c r="L121" s="196"/>
      <c r="M121" s="289" t="str">
        <f t="shared" si="6"/>
        <v>GuadeloupeNectarinier</v>
      </c>
      <c r="N121" s="289" t="str">
        <f t="shared" si="7"/>
        <v>GuadeloupeNectarinierBananier</v>
      </c>
      <c r="P121" s="240" t="s">
        <v>284</v>
      </c>
      <c r="Q121" s="241" t="s">
        <v>151</v>
      </c>
      <c r="R121" s="241" t="s">
        <v>171</v>
      </c>
      <c r="S121" s="220"/>
      <c r="T121" s="220"/>
      <c r="U121" s="220"/>
      <c r="V121" s="223"/>
    </row>
    <row r="122" spans="2:22" x14ac:dyDescent="0.3">
      <c r="B122" t="str">
        <f t="shared" si="4"/>
        <v>GuadeloupeNoyer</v>
      </c>
      <c r="C122" t="str">
        <f t="shared" si="5"/>
        <v>GuadeloupeNoyerBananier</v>
      </c>
      <c r="E122" s="230" t="s">
        <v>284</v>
      </c>
      <c r="F122" s="135" t="s">
        <v>154</v>
      </c>
      <c r="G122" s="135" t="s">
        <v>171</v>
      </c>
      <c r="H122" s="220">
        <v>0.57999999999999996</v>
      </c>
      <c r="I122" s="220">
        <v>1.99</v>
      </c>
      <c r="J122" s="220">
        <v>1.48</v>
      </c>
      <c r="K122" s="223">
        <v>4.67</v>
      </c>
      <c r="L122" s="196"/>
      <c r="M122" s="289" t="str">
        <f t="shared" si="6"/>
        <v>GuadeloupeNoyer</v>
      </c>
      <c r="N122" s="289" t="str">
        <f t="shared" si="7"/>
        <v>GuadeloupeNoyerBananier</v>
      </c>
      <c r="P122" s="240" t="s">
        <v>284</v>
      </c>
      <c r="Q122" s="241" t="s">
        <v>154</v>
      </c>
      <c r="R122" s="241" t="s">
        <v>171</v>
      </c>
      <c r="S122" s="220"/>
      <c r="T122" s="220"/>
      <c r="U122" s="220"/>
      <c r="V122" s="223"/>
    </row>
    <row r="123" spans="2:22" x14ac:dyDescent="0.3">
      <c r="B123" t="str">
        <f t="shared" si="4"/>
        <v>GuadeloupePêcher</v>
      </c>
      <c r="C123" t="str">
        <f t="shared" si="5"/>
        <v>GuadeloupePêcherBananier</v>
      </c>
      <c r="E123" s="230" t="s">
        <v>284</v>
      </c>
      <c r="F123" s="135" t="s">
        <v>158</v>
      </c>
      <c r="G123" s="135" t="s">
        <v>171</v>
      </c>
      <c r="H123" s="220">
        <v>0.57999999999999996</v>
      </c>
      <c r="I123" s="220">
        <v>1.99</v>
      </c>
      <c r="J123" s="220">
        <v>1.48</v>
      </c>
      <c r="K123" s="223">
        <v>4.67</v>
      </c>
      <c r="L123" s="196"/>
      <c r="M123" s="289" t="str">
        <f t="shared" si="6"/>
        <v>GuadeloupePêcher</v>
      </c>
      <c r="N123" s="289" t="str">
        <f t="shared" si="7"/>
        <v>GuadeloupePêcherBananier</v>
      </c>
      <c r="P123" s="240" t="s">
        <v>284</v>
      </c>
      <c r="Q123" s="241" t="s">
        <v>158</v>
      </c>
      <c r="R123" s="241" t="s">
        <v>171</v>
      </c>
      <c r="S123" s="220"/>
      <c r="T123" s="220"/>
      <c r="U123" s="220"/>
      <c r="V123" s="223"/>
    </row>
    <row r="124" spans="2:22" x14ac:dyDescent="0.3">
      <c r="B124" t="str">
        <f t="shared" si="4"/>
        <v>GuadeloupePoirier</v>
      </c>
      <c r="C124" t="str">
        <f t="shared" si="5"/>
        <v>GuadeloupePoirierBananier</v>
      </c>
      <c r="E124" s="230" t="s">
        <v>284</v>
      </c>
      <c r="F124" s="135" t="s">
        <v>159</v>
      </c>
      <c r="G124" s="135" t="s">
        <v>171</v>
      </c>
      <c r="H124" s="220">
        <v>0.57999999999999996</v>
      </c>
      <c r="I124" s="220">
        <v>1.99</v>
      </c>
      <c r="J124" s="220">
        <v>1.48</v>
      </c>
      <c r="K124" s="223">
        <v>4.67</v>
      </c>
      <c r="L124" s="196"/>
      <c r="M124" s="289" t="str">
        <f t="shared" si="6"/>
        <v>GuadeloupePoirier</v>
      </c>
      <c r="N124" s="289" t="str">
        <f t="shared" si="7"/>
        <v>GuadeloupePoirierBananier</v>
      </c>
      <c r="P124" s="240" t="s">
        <v>284</v>
      </c>
      <c r="Q124" s="241" t="s">
        <v>159</v>
      </c>
      <c r="R124" s="241" t="s">
        <v>171</v>
      </c>
      <c r="S124" s="220"/>
      <c r="T124" s="220"/>
      <c r="U124" s="220"/>
      <c r="V124" s="223"/>
    </row>
    <row r="125" spans="2:22" x14ac:dyDescent="0.3">
      <c r="B125" t="str">
        <f t="shared" si="4"/>
        <v>GuadeloupePommier</v>
      </c>
      <c r="C125" t="str">
        <f t="shared" si="5"/>
        <v>GuadeloupePommierBananier</v>
      </c>
      <c r="E125" s="230" t="s">
        <v>284</v>
      </c>
      <c r="F125" s="135" t="s">
        <v>161</v>
      </c>
      <c r="G125" s="135" t="s">
        <v>171</v>
      </c>
      <c r="H125" s="220">
        <v>0.57999999999999996</v>
      </c>
      <c r="I125" s="220">
        <v>1.99</v>
      </c>
      <c r="J125" s="220">
        <v>1.48</v>
      </c>
      <c r="K125" s="223">
        <v>4.67</v>
      </c>
      <c r="L125" s="196"/>
      <c r="M125" s="289" t="str">
        <f t="shared" si="6"/>
        <v>GuadeloupePommier</v>
      </c>
      <c r="N125" s="289" t="str">
        <f t="shared" si="7"/>
        <v>GuadeloupePommierBananier</v>
      </c>
      <c r="P125" s="240" t="s">
        <v>284</v>
      </c>
      <c r="Q125" s="241" t="s">
        <v>161</v>
      </c>
      <c r="R125" s="241" t="s">
        <v>171</v>
      </c>
      <c r="S125" s="220"/>
      <c r="T125" s="220"/>
      <c r="U125" s="220"/>
      <c r="V125" s="223"/>
    </row>
    <row r="126" spans="2:22" ht="15" thickBot="1" x14ac:dyDescent="0.35">
      <c r="B126" t="str">
        <f t="shared" si="4"/>
        <v>GuadeloupePrunier</v>
      </c>
      <c r="C126" t="str">
        <f t="shared" si="5"/>
        <v>GuadeloupePrunierBananier</v>
      </c>
      <c r="E126" s="231" t="s">
        <v>284</v>
      </c>
      <c r="F126" s="232" t="s">
        <v>162</v>
      </c>
      <c r="G126" s="232" t="s">
        <v>171</v>
      </c>
      <c r="H126" s="222">
        <v>0.57999999999999996</v>
      </c>
      <c r="I126" s="222">
        <v>1.99</v>
      </c>
      <c r="J126" s="222">
        <v>1.48</v>
      </c>
      <c r="K126" s="224">
        <v>4.67</v>
      </c>
      <c r="L126" s="196"/>
      <c r="M126" s="289" t="str">
        <f t="shared" si="6"/>
        <v>GuadeloupePrunier</v>
      </c>
      <c r="N126" s="289" t="str">
        <f t="shared" si="7"/>
        <v>GuadeloupePrunierBananier</v>
      </c>
      <c r="P126" s="242" t="s">
        <v>284</v>
      </c>
      <c r="Q126" s="243" t="s">
        <v>162</v>
      </c>
      <c r="R126" s="243" t="s">
        <v>171</v>
      </c>
      <c r="S126" s="222"/>
      <c r="T126" s="222"/>
      <c r="U126" s="222"/>
      <c r="V126" s="224"/>
    </row>
    <row r="127" spans="2:22" ht="15" thickTop="1" x14ac:dyDescent="0.3">
      <c r="B127" t="str">
        <f t="shared" si="4"/>
        <v>GuyaneAbricotier</v>
      </c>
      <c r="C127" t="str">
        <f t="shared" si="5"/>
        <v>GuyaneAbricotierAgrumes</v>
      </c>
      <c r="E127" s="230" t="s">
        <v>285</v>
      </c>
      <c r="F127" s="135" t="s">
        <v>127</v>
      </c>
      <c r="G127" s="135" t="s">
        <v>634</v>
      </c>
      <c r="H127" s="220">
        <v>0</v>
      </c>
      <c r="I127" s="220">
        <v>2.14</v>
      </c>
      <c r="J127" s="220">
        <v>0</v>
      </c>
      <c r="K127" s="223">
        <v>0</v>
      </c>
      <c r="L127" s="196"/>
      <c r="M127" s="289" t="str">
        <f t="shared" si="6"/>
        <v>GuyaneAbricotier</v>
      </c>
      <c r="N127" s="289" t="str">
        <f t="shared" si="7"/>
        <v>GuyaneAbricotierAgrumes</v>
      </c>
      <c r="P127" s="240" t="s">
        <v>285</v>
      </c>
      <c r="Q127" s="241" t="s">
        <v>127</v>
      </c>
      <c r="R127" s="241" t="s">
        <v>634</v>
      </c>
      <c r="S127" s="220"/>
      <c r="T127" s="220"/>
      <c r="U127" s="220"/>
      <c r="V127" s="223"/>
    </row>
    <row r="128" spans="2:22" x14ac:dyDescent="0.3">
      <c r="B128" t="str">
        <f t="shared" si="4"/>
        <v>GuyaneAgrumes</v>
      </c>
      <c r="C128" t="str">
        <f t="shared" si="5"/>
        <v>GuyaneAgrumesAgrumes</v>
      </c>
      <c r="E128" s="230" t="s">
        <v>285</v>
      </c>
      <c r="F128" s="135" t="s">
        <v>634</v>
      </c>
      <c r="G128" s="135" t="s">
        <v>634</v>
      </c>
      <c r="H128" s="220">
        <v>0</v>
      </c>
      <c r="I128" s="220">
        <v>2.14</v>
      </c>
      <c r="J128" s="220">
        <v>0</v>
      </c>
      <c r="K128" s="223">
        <v>0</v>
      </c>
      <c r="L128" s="196"/>
      <c r="M128" s="289" t="str">
        <f t="shared" si="6"/>
        <v>GuyaneAgrumes</v>
      </c>
      <c r="N128" s="289" t="str">
        <f t="shared" si="7"/>
        <v>GuyaneAgrumesAgrumes</v>
      </c>
      <c r="P128" s="240" t="s">
        <v>285</v>
      </c>
      <c r="Q128" s="241" t="s">
        <v>634</v>
      </c>
      <c r="R128" s="241" t="s">
        <v>634</v>
      </c>
      <c r="S128" s="220"/>
      <c r="T128" s="220"/>
      <c r="U128" s="220"/>
      <c r="V128" s="223"/>
    </row>
    <row r="129" spans="2:22" x14ac:dyDescent="0.3">
      <c r="B129" t="str">
        <f t="shared" si="4"/>
        <v>GuyaneAutres</v>
      </c>
      <c r="C129" t="str">
        <f t="shared" si="5"/>
        <v>GuyaneAutresAgrumes</v>
      </c>
      <c r="E129" s="230" t="s">
        <v>285</v>
      </c>
      <c r="F129" s="135" t="s">
        <v>170</v>
      </c>
      <c r="G129" s="135" t="s">
        <v>634</v>
      </c>
      <c r="H129" s="220">
        <v>0</v>
      </c>
      <c r="I129" s="220">
        <v>2.14</v>
      </c>
      <c r="J129" s="220">
        <v>0</v>
      </c>
      <c r="K129" s="223">
        <v>0</v>
      </c>
      <c r="L129" s="196"/>
      <c r="M129" s="289" t="str">
        <f t="shared" si="6"/>
        <v>GuyaneAutres</v>
      </c>
      <c r="N129" s="289" t="str">
        <f t="shared" si="7"/>
        <v>GuyaneAutresAgrumes</v>
      </c>
      <c r="P129" s="240" t="s">
        <v>285</v>
      </c>
      <c r="Q129" s="241" t="s">
        <v>170</v>
      </c>
      <c r="R129" s="241" t="s">
        <v>634</v>
      </c>
      <c r="S129" s="220"/>
      <c r="T129" s="220"/>
      <c r="U129" s="220"/>
      <c r="V129" s="223"/>
    </row>
    <row r="130" spans="2:22" x14ac:dyDescent="0.3">
      <c r="B130" t="str">
        <f t="shared" si="4"/>
        <v>GuyaneBananier</v>
      </c>
      <c r="C130" t="str">
        <f t="shared" si="5"/>
        <v>GuyaneBananierAgrumes</v>
      </c>
      <c r="E130" s="230" t="s">
        <v>285</v>
      </c>
      <c r="F130" s="135" t="s">
        <v>171</v>
      </c>
      <c r="G130" s="135" t="s">
        <v>634</v>
      </c>
      <c r="H130" s="220">
        <v>0</v>
      </c>
      <c r="I130" s="220">
        <v>2.14</v>
      </c>
      <c r="J130" s="220">
        <v>0</v>
      </c>
      <c r="K130" s="223">
        <v>0</v>
      </c>
      <c r="L130" s="196"/>
      <c r="M130" s="289" t="str">
        <f t="shared" si="6"/>
        <v>GuyaneBananier</v>
      </c>
      <c r="N130" s="289" t="str">
        <f t="shared" si="7"/>
        <v>GuyaneBananierAgrumes</v>
      </c>
      <c r="P130" s="240" t="s">
        <v>285</v>
      </c>
      <c r="Q130" s="241" t="s">
        <v>171</v>
      </c>
      <c r="R130" s="241" t="s">
        <v>634</v>
      </c>
      <c r="S130" s="220"/>
      <c r="T130" s="220"/>
      <c r="U130" s="220"/>
      <c r="V130" s="223"/>
    </row>
    <row r="131" spans="2:22" x14ac:dyDescent="0.3">
      <c r="B131" t="str">
        <f t="shared" si="4"/>
        <v>GuyaneCerisier</v>
      </c>
      <c r="C131" t="str">
        <f t="shared" si="5"/>
        <v>GuyaneCerisierAgrumes</v>
      </c>
      <c r="E131" s="230" t="s">
        <v>285</v>
      </c>
      <c r="F131" s="135" t="s">
        <v>132</v>
      </c>
      <c r="G131" s="135" t="s">
        <v>634</v>
      </c>
      <c r="H131" s="220">
        <v>0</v>
      </c>
      <c r="I131" s="220">
        <v>2.14</v>
      </c>
      <c r="J131" s="220">
        <v>0</v>
      </c>
      <c r="K131" s="223">
        <v>0</v>
      </c>
      <c r="L131" s="196"/>
      <c r="M131" s="289" t="str">
        <f t="shared" si="6"/>
        <v>GuyaneCerisier</v>
      </c>
      <c r="N131" s="289" t="str">
        <f t="shared" si="7"/>
        <v>GuyaneCerisierAgrumes</v>
      </c>
      <c r="P131" s="240" t="s">
        <v>285</v>
      </c>
      <c r="Q131" s="241" t="s">
        <v>132</v>
      </c>
      <c r="R131" s="241" t="s">
        <v>634</v>
      </c>
      <c r="S131" s="220"/>
      <c r="T131" s="220"/>
      <c r="U131" s="220"/>
      <c r="V131" s="223"/>
    </row>
    <row r="132" spans="2:22" x14ac:dyDescent="0.3">
      <c r="B132" t="str">
        <f t="shared" si="4"/>
        <v>GuyaneMirabellier</v>
      </c>
      <c r="C132" t="str">
        <f t="shared" si="5"/>
        <v>GuyaneMirabellierAgrumes</v>
      </c>
      <c r="E132" s="230" t="s">
        <v>285</v>
      </c>
      <c r="F132" s="135" t="s">
        <v>145</v>
      </c>
      <c r="G132" s="135" t="s">
        <v>634</v>
      </c>
      <c r="H132" s="220">
        <v>0</v>
      </c>
      <c r="I132" s="220">
        <v>2.14</v>
      </c>
      <c r="J132" s="220">
        <v>0</v>
      </c>
      <c r="K132" s="223">
        <v>0</v>
      </c>
      <c r="L132" s="196"/>
      <c r="M132" s="289" t="str">
        <f t="shared" si="6"/>
        <v>GuyaneMirabellier</v>
      </c>
      <c r="N132" s="289" t="str">
        <f t="shared" si="7"/>
        <v>GuyaneMirabellierAgrumes</v>
      </c>
      <c r="P132" s="240" t="s">
        <v>285</v>
      </c>
      <c r="Q132" s="241" t="s">
        <v>145</v>
      </c>
      <c r="R132" s="241" t="s">
        <v>634</v>
      </c>
      <c r="S132" s="220"/>
      <c r="T132" s="220"/>
      <c r="U132" s="220"/>
      <c r="V132" s="223"/>
    </row>
    <row r="133" spans="2:22" x14ac:dyDescent="0.3">
      <c r="B133" t="str">
        <f t="shared" si="4"/>
        <v>GuyaneNectarinier</v>
      </c>
      <c r="C133" t="str">
        <f t="shared" si="5"/>
        <v>GuyaneNectarinierAgrumes</v>
      </c>
      <c r="E133" s="230" t="s">
        <v>285</v>
      </c>
      <c r="F133" s="135" t="s">
        <v>151</v>
      </c>
      <c r="G133" s="135" t="s">
        <v>634</v>
      </c>
      <c r="H133" s="220">
        <v>0</v>
      </c>
      <c r="I133" s="220">
        <v>2.14</v>
      </c>
      <c r="J133" s="220">
        <v>0</v>
      </c>
      <c r="K133" s="223">
        <v>0</v>
      </c>
      <c r="L133" s="196"/>
      <c r="M133" s="289" t="str">
        <f t="shared" si="6"/>
        <v>GuyaneNectarinier</v>
      </c>
      <c r="N133" s="289" t="str">
        <f t="shared" si="7"/>
        <v>GuyaneNectarinierAgrumes</v>
      </c>
      <c r="P133" s="240" t="s">
        <v>285</v>
      </c>
      <c r="Q133" s="241" t="s">
        <v>151</v>
      </c>
      <c r="R133" s="241" t="s">
        <v>634</v>
      </c>
      <c r="S133" s="220"/>
      <c r="T133" s="220"/>
      <c r="U133" s="220"/>
      <c r="V133" s="223"/>
    </row>
    <row r="134" spans="2:22" x14ac:dyDescent="0.3">
      <c r="B134" t="str">
        <f t="shared" ref="B134:B197" si="8">E134&amp;F134</f>
        <v>GuyaneNoyer</v>
      </c>
      <c r="C134" t="str">
        <f t="shared" ref="C134:C197" si="9">E134&amp;F134&amp;G134</f>
        <v>GuyaneNoyerAgrumes</v>
      </c>
      <c r="E134" s="230" t="s">
        <v>285</v>
      </c>
      <c r="F134" s="135" t="s">
        <v>154</v>
      </c>
      <c r="G134" s="135" t="s">
        <v>634</v>
      </c>
      <c r="H134" s="220">
        <v>0</v>
      </c>
      <c r="I134" s="220">
        <v>2.14</v>
      </c>
      <c r="J134" s="220">
        <v>0</v>
      </c>
      <c r="K134" s="223">
        <v>0</v>
      </c>
      <c r="L134" s="196"/>
      <c r="M134" s="289" t="str">
        <f t="shared" ref="M134:M197" si="10">P134&amp;Q134</f>
        <v>GuyaneNoyer</v>
      </c>
      <c r="N134" s="289" t="str">
        <f t="shared" ref="N134:N197" si="11">P134&amp;Q134&amp;R134</f>
        <v>GuyaneNoyerAgrumes</v>
      </c>
      <c r="P134" s="240" t="s">
        <v>285</v>
      </c>
      <c r="Q134" s="241" t="s">
        <v>154</v>
      </c>
      <c r="R134" s="241" t="s">
        <v>634</v>
      </c>
      <c r="S134" s="220"/>
      <c r="T134" s="220"/>
      <c r="U134" s="220"/>
      <c r="V134" s="223"/>
    </row>
    <row r="135" spans="2:22" x14ac:dyDescent="0.3">
      <c r="B135" t="str">
        <f t="shared" si="8"/>
        <v>GuyanePêcher</v>
      </c>
      <c r="C135" t="str">
        <f t="shared" si="9"/>
        <v>GuyanePêcherAgrumes</v>
      </c>
      <c r="E135" s="230" t="s">
        <v>285</v>
      </c>
      <c r="F135" s="135" t="s">
        <v>158</v>
      </c>
      <c r="G135" s="135" t="s">
        <v>634</v>
      </c>
      <c r="H135" s="220">
        <v>0</v>
      </c>
      <c r="I135" s="220">
        <v>2.14</v>
      </c>
      <c r="J135" s="220">
        <v>0</v>
      </c>
      <c r="K135" s="223">
        <v>0</v>
      </c>
      <c r="L135" s="196"/>
      <c r="M135" s="289" t="str">
        <f t="shared" si="10"/>
        <v>GuyanePêcher</v>
      </c>
      <c r="N135" s="289" t="str">
        <f t="shared" si="11"/>
        <v>GuyanePêcherAgrumes</v>
      </c>
      <c r="P135" s="240" t="s">
        <v>285</v>
      </c>
      <c r="Q135" s="241" t="s">
        <v>158</v>
      </c>
      <c r="R135" s="241" t="s">
        <v>634</v>
      </c>
      <c r="S135" s="220"/>
      <c r="T135" s="220"/>
      <c r="U135" s="220"/>
      <c r="V135" s="223"/>
    </row>
    <row r="136" spans="2:22" x14ac:dyDescent="0.3">
      <c r="B136" t="str">
        <f t="shared" si="8"/>
        <v>GuyanePoirier</v>
      </c>
      <c r="C136" t="str">
        <f t="shared" si="9"/>
        <v>GuyanePoirierAgrumes</v>
      </c>
      <c r="E136" s="230" t="s">
        <v>285</v>
      </c>
      <c r="F136" s="135" t="s">
        <v>159</v>
      </c>
      <c r="G136" s="135" t="s">
        <v>634</v>
      </c>
      <c r="H136" s="220">
        <v>0</v>
      </c>
      <c r="I136" s="220">
        <v>2.14</v>
      </c>
      <c r="J136" s="220">
        <v>0</v>
      </c>
      <c r="K136" s="223">
        <v>0</v>
      </c>
      <c r="L136" s="196"/>
      <c r="M136" s="289" t="str">
        <f t="shared" si="10"/>
        <v>GuyanePoirier</v>
      </c>
      <c r="N136" s="289" t="str">
        <f t="shared" si="11"/>
        <v>GuyanePoirierAgrumes</v>
      </c>
      <c r="P136" s="240" t="s">
        <v>285</v>
      </c>
      <c r="Q136" s="241" t="s">
        <v>159</v>
      </c>
      <c r="R136" s="241" t="s">
        <v>634</v>
      </c>
      <c r="S136" s="220"/>
      <c r="T136" s="220"/>
      <c r="U136" s="220"/>
      <c r="V136" s="223"/>
    </row>
    <row r="137" spans="2:22" x14ac:dyDescent="0.3">
      <c r="B137" t="str">
        <f t="shared" si="8"/>
        <v>GuyanePommier</v>
      </c>
      <c r="C137" t="str">
        <f t="shared" si="9"/>
        <v>GuyanePommierAgrumes</v>
      </c>
      <c r="E137" s="230" t="s">
        <v>285</v>
      </c>
      <c r="F137" s="135" t="s">
        <v>161</v>
      </c>
      <c r="G137" s="135" t="s">
        <v>634</v>
      </c>
      <c r="H137" s="220">
        <v>0</v>
      </c>
      <c r="I137" s="220">
        <v>2.14</v>
      </c>
      <c r="J137" s="220">
        <v>0</v>
      </c>
      <c r="K137" s="223">
        <v>0</v>
      </c>
      <c r="L137" s="196"/>
      <c r="M137" s="289" t="str">
        <f t="shared" si="10"/>
        <v>GuyanePommier</v>
      </c>
      <c r="N137" s="289" t="str">
        <f t="shared" si="11"/>
        <v>GuyanePommierAgrumes</v>
      </c>
      <c r="P137" s="240" t="s">
        <v>285</v>
      </c>
      <c r="Q137" s="241" t="s">
        <v>161</v>
      </c>
      <c r="R137" s="241" t="s">
        <v>634</v>
      </c>
      <c r="S137" s="220"/>
      <c r="T137" s="220"/>
      <c r="U137" s="220"/>
      <c r="V137" s="223"/>
    </row>
    <row r="138" spans="2:22" ht="15" thickBot="1" x14ac:dyDescent="0.35">
      <c r="B138" t="str">
        <f t="shared" si="8"/>
        <v>GuyanePrunier</v>
      </c>
      <c r="C138" t="str">
        <f t="shared" si="9"/>
        <v>GuyanePrunierAgrumes</v>
      </c>
      <c r="E138" s="231" t="s">
        <v>285</v>
      </c>
      <c r="F138" s="232" t="s">
        <v>162</v>
      </c>
      <c r="G138" s="232" t="s">
        <v>634</v>
      </c>
      <c r="H138" s="222">
        <v>0</v>
      </c>
      <c r="I138" s="222">
        <v>2.14</v>
      </c>
      <c r="J138" s="222">
        <v>0</v>
      </c>
      <c r="K138" s="224">
        <v>0</v>
      </c>
      <c r="L138" s="196"/>
      <c r="M138" s="289" t="str">
        <f t="shared" si="10"/>
        <v>GuyanePrunier</v>
      </c>
      <c r="N138" s="289" t="str">
        <f t="shared" si="11"/>
        <v>GuyanePrunierAgrumes</v>
      </c>
      <c r="P138" s="242" t="s">
        <v>285</v>
      </c>
      <c r="Q138" s="243" t="s">
        <v>162</v>
      </c>
      <c r="R138" s="243" t="s">
        <v>634</v>
      </c>
      <c r="S138" s="222"/>
      <c r="T138" s="222"/>
      <c r="U138" s="222"/>
      <c r="V138" s="224"/>
    </row>
    <row r="139" spans="2:22" ht="15" thickTop="1" x14ac:dyDescent="0.3">
      <c r="B139" t="str">
        <f t="shared" si="8"/>
        <v>Haute-NormandieAbricotier</v>
      </c>
      <c r="C139" t="str">
        <f t="shared" si="9"/>
        <v>Haute-NormandieAbricotierAbricotier</v>
      </c>
      <c r="E139" s="230" t="s">
        <v>20</v>
      </c>
      <c r="F139" s="135" t="s">
        <v>127</v>
      </c>
      <c r="G139" s="135" t="s">
        <v>127</v>
      </c>
      <c r="H139" s="220">
        <v>0.01</v>
      </c>
      <c r="I139" s="220">
        <v>0.62</v>
      </c>
      <c r="J139" s="220">
        <v>5.1100000000000003</v>
      </c>
      <c r="K139" s="223">
        <v>10.66</v>
      </c>
      <c r="L139" s="196"/>
      <c r="M139" s="289" t="str">
        <f t="shared" si="10"/>
        <v>Haute-NormandieAbricotier</v>
      </c>
      <c r="N139" s="289" t="str">
        <f t="shared" si="11"/>
        <v>Haute-NormandieAbricotierAbricotier</v>
      </c>
      <c r="P139" s="240" t="s">
        <v>20</v>
      </c>
      <c r="Q139" s="241" t="s">
        <v>127</v>
      </c>
      <c r="R139" s="241" t="s">
        <v>127</v>
      </c>
      <c r="S139" s="220"/>
      <c r="T139" s="220"/>
      <c r="U139" s="220"/>
      <c r="V139" s="223"/>
    </row>
    <row r="140" spans="2:22" x14ac:dyDescent="0.3">
      <c r="B140" t="str">
        <f t="shared" si="8"/>
        <v>Haute-NormandieAgrumes</v>
      </c>
      <c r="C140" t="str">
        <f t="shared" si="9"/>
        <v>Haute-NormandieAgrumesClémentinier</v>
      </c>
      <c r="E140" s="230" t="s">
        <v>20</v>
      </c>
      <c r="F140" s="135" t="s">
        <v>634</v>
      </c>
      <c r="G140" s="135" t="s">
        <v>135</v>
      </c>
      <c r="H140" s="220">
        <v>0</v>
      </c>
      <c r="I140" s="220">
        <v>0.3</v>
      </c>
      <c r="J140" s="220">
        <v>2</v>
      </c>
      <c r="K140" s="223">
        <v>5</v>
      </c>
      <c r="L140" s="196"/>
      <c r="M140" s="289" t="str">
        <f t="shared" si="10"/>
        <v>Haute-NormandieAgrumes</v>
      </c>
      <c r="N140" s="289" t="str">
        <f t="shared" si="11"/>
        <v>Haute-NormandieAgrumesClémentinier</v>
      </c>
      <c r="P140" s="240" t="s">
        <v>20</v>
      </c>
      <c r="Q140" s="241" t="s">
        <v>634</v>
      </c>
      <c r="R140" s="241" t="s">
        <v>135</v>
      </c>
      <c r="S140" s="220"/>
      <c r="T140" s="220"/>
      <c r="U140" s="220"/>
      <c r="V140" s="223"/>
    </row>
    <row r="141" spans="2:22" x14ac:dyDescent="0.3">
      <c r="B141" t="str">
        <f t="shared" si="8"/>
        <v>Haute-NormandieAutres</v>
      </c>
      <c r="C141" t="str">
        <f t="shared" si="9"/>
        <v>Haute-NormandieAutresPrunier</v>
      </c>
      <c r="E141" s="230" t="s">
        <v>20</v>
      </c>
      <c r="F141" s="135" t="s">
        <v>170</v>
      </c>
      <c r="G141" s="135" t="s">
        <v>162</v>
      </c>
      <c r="H141" s="220">
        <v>0.01</v>
      </c>
      <c r="I141" s="220">
        <v>0.33</v>
      </c>
      <c r="J141" s="220">
        <v>5.14</v>
      </c>
      <c r="K141" s="223">
        <v>9.34</v>
      </c>
      <c r="L141" s="196"/>
      <c r="M141" s="289" t="str">
        <f t="shared" si="10"/>
        <v>Haute-NormandieAutres</v>
      </c>
      <c r="N141" s="289" t="str">
        <f t="shared" si="11"/>
        <v>Haute-NormandieAutresPrunier</v>
      </c>
      <c r="P141" s="240" t="s">
        <v>20</v>
      </c>
      <c r="Q141" s="241" t="s">
        <v>170</v>
      </c>
      <c r="R141" s="241" t="s">
        <v>162</v>
      </c>
      <c r="S141" s="220"/>
      <c r="T141" s="220"/>
      <c r="U141" s="220"/>
      <c r="V141" s="223"/>
    </row>
    <row r="142" spans="2:22" x14ac:dyDescent="0.3">
      <c r="B142" t="str">
        <f t="shared" si="8"/>
        <v>Haute-NormandieCerisier</v>
      </c>
      <c r="C142" t="str">
        <f t="shared" si="9"/>
        <v>Haute-NormandieCerisierCerisier</v>
      </c>
      <c r="E142" s="230" t="s">
        <v>20</v>
      </c>
      <c r="F142" s="135" t="s">
        <v>132</v>
      </c>
      <c r="G142" s="135" t="s">
        <v>132</v>
      </c>
      <c r="H142" s="220">
        <v>0</v>
      </c>
      <c r="I142" s="220">
        <v>0.36</v>
      </c>
      <c r="J142" s="220">
        <v>4.0599999999999996</v>
      </c>
      <c r="K142" s="223">
        <v>8.0299999999999994</v>
      </c>
      <c r="L142" s="196"/>
      <c r="M142" s="289" t="str">
        <f t="shared" si="10"/>
        <v>Haute-NormandieCerisier</v>
      </c>
      <c r="N142" s="289" t="str">
        <f t="shared" si="11"/>
        <v>Haute-NormandieCerisierCerisier</v>
      </c>
      <c r="P142" s="240" t="s">
        <v>20</v>
      </c>
      <c r="Q142" s="241" t="s">
        <v>132</v>
      </c>
      <c r="R142" s="241" t="s">
        <v>132</v>
      </c>
      <c r="S142" s="220"/>
      <c r="T142" s="220"/>
      <c r="U142" s="220"/>
      <c r="V142" s="223"/>
    </row>
    <row r="143" spans="2:22" x14ac:dyDescent="0.3">
      <c r="B143" t="str">
        <f t="shared" si="8"/>
        <v>Haute-NormandieMirabellier</v>
      </c>
      <c r="C143" t="str">
        <f t="shared" si="9"/>
        <v>Haute-NormandieMirabellierAutres</v>
      </c>
      <c r="E143" s="230" t="s">
        <v>20</v>
      </c>
      <c r="F143" s="135" t="s">
        <v>145</v>
      </c>
      <c r="G143" s="135" t="s">
        <v>170</v>
      </c>
      <c r="H143" s="220">
        <v>0.01</v>
      </c>
      <c r="I143" s="220">
        <v>0.33</v>
      </c>
      <c r="J143" s="220">
        <v>5.14</v>
      </c>
      <c r="K143" s="223">
        <v>9.34</v>
      </c>
      <c r="L143" s="196"/>
      <c r="M143" s="289" t="str">
        <f t="shared" si="10"/>
        <v>Haute-NormandieMirabellier</v>
      </c>
      <c r="N143" s="289" t="str">
        <f t="shared" si="11"/>
        <v>Haute-NormandieMirabellierAutres</v>
      </c>
      <c r="P143" s="240" t="s">
        <v>20</v>
      </c>
      <c r="Q143" s="241" t="s">
        <v>145</v>
      </c>
      <c r="R143" s="241" t="s">
        <v>170</v>
      </c>
      <c r="S143" s="220"/>
      <c r="T143" s="220"/>
      <c r="U143" s="220"/>
      <c r="V143" s="223"/>
    </row>
    <row r="144" spans="2:22" x14ac:dyDescent="0.3">
      <c r="B144" t="str">
        <f t="shared" si="8"/>
        <v>Haute-NormandieNectarinier</v>
      </c>
      <c r="C144" t="str">
        <f t="shared" si="9"/>
        <v>Haute-NormandieNectarinierNectarinier-Pêcher</v>
      </c>
      <c r="E144" s="230" t="s">
        <v>20</v>
      </c>
      <c r="F144" s="135" t="s">
        <v>151</v>
      </c>
      <c r="G144" s="135" t="s">
        <v>635</v>
      </c>
      <c r="H144" s="220">
        <v>0.03</v>
      </c>
      <c r="I144" s="220">
        <v>0.84</v>
      </c>
      <c r="J144" s="220">
        <v>9.25</v>
      </c>
      <c r="K144" s="223">
        <v>19.38</v>
      </c>
      <c r="L144" s="196"/>
      <c r="M144" s="289" t="str">
        <f t="shared" si="10"/>
        <v>Haute-NormandieNectarinier</v>
      </c>
      <c r="N144" s="289" t="str">
        <f t="shared" si="11"/>
        <v>Haute-NormandieNectarinierNectarinier-Pêcher</v>
      </c>
      <c r="P144" s="240" t="s">
        <v>20</v>
      </c>
      <c r="Q144" s="241" t="s">
        <v>151</v>
      </c>
      <c r="R144" s="241" t="s">
        <v>635</v>
      </c>
      <c r="S144" s="220"/>
      <c r="T144" s="220"/>
      <c r="U144" s="220"/>
      <c r="V144" s="223"/>
    </row>
    <row r="145" spans="2:22" x14ac:dyDescent="0.3">
      <c r="B145" t="str">
        <f t="shared" si="8"/>
        <v>Haute-NormandieNoyer</v>
      </c>
      <c r="C145" t="str">
        <f t="shared" si="9"/>
        <v>Haute-NormandieNoyerAutres</v>
      </c>
      <c r="E145" s="230" t="s">
        <v>20</v>
      </c>
      <c r="F145" s="135" t="s">
        <v>154</v>
      </c>
      <c r="G145" s="135" t="s">
        <v>170</v>
      </c>
      <c r="H145" s="220">
        <v>0.01</v>
      </c>
      <c r="I145" s="220">
        <v>0.33</v>
      </c>
      <c r="J145" s="220">
        <v>5.14</v>
      </c>
      <c r="K145" s="223">
        <v>9.34</v>
      </c>
      <c r="L145" s="196"/>
      <c r="M145" s="289" t="str">
        <f t="shared" si="10"/>
        <v>Haute-NormandieNoyer</v>
      </c>
      <c r="N145" s="289" t="str">
        <f t="shared" si="11"/>
        <v>Haute-NormandieNoyerAutres</v>
      </c>
      <c r="P145" s="240" t="s">
        <v>20</v>
      </c>
      <c r="Q145" s="241" t="s">
        <v>154</v>
      </c>
      <c r="R145" s="241" t="s">
        <v>170</v>
      </c>
      <c r="S145" s="220"/>
      <c r="T145" s="220"/>
      <c r="U145" s="220"/>
      <c r="V145" s="223"/>
    </row>
    <row r="146" spans="2:22" x14ac:dyDescent="0.3">
      <c r="B146" t="str">
        <f t="shared" si="8"/>
        <v>Haute-NormandiePêcher</v>
      </c>
      <c r="C146" t="str">
        <f t="shared" si="9"/>
        <v>Haute-NormandiePêcherNectarinier-Pêcher</v>
      </c>
      <c r="E146" s="230" t="s">
        <v>20</v>
      </c>
      <c r="F146" s="135" t="s">
        <v>158</v>
      </c>
      <c r="G146" s="135" t="s">
        <v>635</v>
      </c>
      <c r="H146" s="220">
        <v>0.03</v>
      </c>
      <c r="I146" s="220">
        <v>0.84</v>
      </c>
      <c r="J146" s="220">
        <v>9.25</v>
      </c>
      <c r="K146" s="223">
        <v>19.38</v>
      </c>
      <c r="L146" s="196"/>
      <c r="M146" s="289" t="str">
        <f t="shared" si="10"/>
        <v>Haute-NormandiePêcher</v>
      </c>
      <c r="N146" s="289" t="str">
        <f t="shared" si="11"/>
        <v>Haute-NormandiePêcherNectarinier-Pêcher</v>
      </c>
      <c r="P146" s="240" t="s">
        <v>20</v>
      </c>
      <c r="Q146" s="241" t="s">
        <v>158</v>
      </c>
      <c r="R146" s="241" t="s">
        <v>635</v>
      </c>
      <c r="S146" s="220"/>
      <c r="T146" s="220"/>
      <c r="U146" s="220"/>
      <c r="V146" s="223"/>
    </row>
    <row r="147" spans="2:22" x14ac:dyDescent="0.3">
      <c r="B147" t="str">
        <f t="shared" si="8"/>
        <v>Haute-NormandiePoirier</v>
      </c>
      <c r="C147" t="str">
        <f t="shared" si="9"/>
        <v>Haute-NormandiePoirierAutres</v>
      </c>
      <c r="E147" s="230" t="s">
        <v>20</v>
      </c>
      <c r="F147" s="135" t="s">
        <v>159</v>
      </c>
      <c r="G147" s="135" t="s">
        <v>170</v>
      </c>
      <c r="H147" s="220">
        <v>0.01</v>
      </c>
      <c r="I147" s="220">
        <v>0.33</v>
      </c>
      <c r="J147" s="220">
        <v>5.14</v>
      </c>
      <c r="K147" s="223">
        <v>9.34</v>
      </c>
      <c r="L147" s="196"/>
      <c r="M147" s="289" t="str">
        <f t="shared" si="10"/>
        <v>Haute-NormandiePoirier</v>
      </c>
      <c r="N147" s="289" t="str">
        <f t="shared" si="11"/>
        <v>Haute-NormandiePoirierAutres</v>
      </c>
      <c r="P147" s="240" t="s">
        <v>20</v>
      </c>
      <c r="Q147" s="241" t="s">
        <v>159</v>
      </c>
      <c r="R147" s="241" t="s">
        <v>170</v>
      </c>
      <c r="S147" s="220"/>
      <c r="T147" s="220"/>
      <c r="U147" s="220"/>
      <c r="V147" s="223"/>
    </row>
    <row r="148" spans="2:22" x14ac:dyDescent="0.3">
      <c r="B148" t="str">
        <f t="shared" si="8"/>
        <v>Haute-NormandiePommier</v>
      </c>
      <c r="C148" t="str">
        <f t="shared" si="9"/>
        <v>Haute-NormandiePommierPommier</v>
      </c>
      <c r="E148" s="230" t="s">
        <v>20</v>
      </c>
      <c r="F148" s="135" t="s">
        <v>161</v>
      </c>
      <c r="G148" s="135" t="s">
        <v>161</v>
      </c>
      <c r="H148" s="220">
        <v>0</v>
      </c>
      <c r="I148" s="220">
        <v>0.69</v>
      </c>
      <c r="J148" s="220">
        <v>5.54</v>
      </c>
      <c r="K148" s="223">
        <v>15.66</v>
      </c>
      <c r="L148" s="196"/>
      <c r="M148" s="289" t="str">
        <f t="shared" si="10"/>
        <v>Haute-NormandiePommier</v>
      </c>
      <c r="N148" s="289" t="str">
        <f t="shared" si="11"/>
        <v>Haute-NormandiePommierPommier</v>
      </c>
      <c r="P148" s="240" t="s">
        <v>20</v>
      </c>
      <c r="Q148" s="241" t="s">
        <v>161</v>
      </c>
      <c r="R148" s="241" t="s">
        <v>161</v>
      </c>
      <c r="S148" s="220"/>
      <c r="T148" s="220"/>
      <c r="U148" s="220"/>
      <c r="V148" s="223"/>
    </row>
    <row r="149" spans="2:22" ht="15" thickBot="1" x14ac:dyDescent="0.35">
      <c r="B149" t="str">
        <f t="shared" si="8"/>
        <v>Haute-NormandiePrunier</v>
      </c>
      <c r="C149" t="str">
        <f t="shared" si="9"/>
        <v>Haute-NormandiePrunierAutres</v>
      </c>
      <c r="E149" s="231" t="s">
        <v>20</v>
      </c>
      <c r="F149" s="232" t="s">
        <v>162</v>
      </c>
      <c r="G149" s="232" t="s">
        <v>170</v>
      </c>
      <c r="H149" s="222">
        <v>0.01</v>
      </c>
      <c r="I149" s="222">
        <v>0.33</v>
      </c>
      <c r="J149" s="222">
        <v>5.14</v>
      </c>
      <c r="K149" s="224">
        <v>9.34</v>
      </c>
      <c r="L149" s="196"/>
      <c r="M149" s="289" t="str">
        <f t="shared" si="10"/>
        <v>Haute-NormandiePrunier</v>
      </c>
      <c r="N149" s="289" t="str">
        <f t="shared" si="11"/>
        <v>Haute-NormandiePrunierAutres</v>
      </c>
      <c r="P149" s="242" t="s">
        <v>20</v>
      </c>
      <c r="Q149" s="243" t="s">
        <v>162</v>
      </c>
      <c r="R149" s="243" t="s">
        <v>170</v>
      </c>
      <c r="S149" s="222"/>
      <c r="T149" s="222"/>
      <c r="U149" s="222"/>
      <c r="V149" s="224"/>
    </row>
    <row r="150" spans="2:22" ht="15" thickTop="1" x14ac:dyDescent="0.3">
      <c r="B150" t="str">
        <f t="shared" si="8"/>
        <v>Ile-de-FranceAbricotier</v>
      </c>
      <c r="C150" t="str">
        <f t="shared" si="9"/>
        <v>Ile-de-FranceAbricotierAbricotier</v>
      </c>
      <c r="E150" s="228" t="s">
        <v>21</v>
      </c>
      <c r="F150" s="229" t="s">
        <v>127</v>
      </c>
      <c r="G150" s="229" t="s">
        <v>127</v>
      </c>
      <c r="H150" s="221">
        <v>0.01</v>
      </c>
      <c r="I150" s="221">
        <v>0.62</v>
      </c>
      <c r="J150" s="221">
        <v>5.1100000000000003</v>
      </c>
      <c r="K150" s="225">
        <v>10.66</v>
      </c>
      <c r="L150" s="196"/>
      <c r="M150" s="289" t="str">
        <f t="shared" si="10"/>
        <v>Ile-de-FranceAbricotier</v>
      </c>
      <c r="N150" s="289" t="str">
        <f t="shared" si="11"/>
        <v>Ile-de-FranceAbricotierAbricotier</v>
      </c>
      <c r="P150" s="238" t="s">
        <v>21</v>
      </c>
      <c r="Q150" s="239" t="s">
        <v>127</v>
      </c>
      <c r="R150" s="239" t="s">
        <v>127</v>
      </c>
      <c r="S150" s="221"/>
      <c r="T150" s="221"/>
      <c r="U150" s="221"/>
      <c r="V150" s="225"/>
    </row>
    <row r="151" spans="2:22" x14ac:dyDescent="0.3">
      <c r="B151" t="str">
        <f t="shared" si="8"/>
        <v>Ile-de-FranceAgrumes</v>
      </c>
      <c r="C151" t="str">
        <f t="shared" si="9"/>
        <v>Ile-de-FranceAgrumesClémentinier</v>
      </c>
      <c r="E151" s="228" t="s">
        <v>21</v>
      </c>
      <c r="F151" s="135" t="s">
        <v>634</v>
      </c>
      <c r="G151" s="135" t="s">
        <v>135</v>
      </c>
      <c r="H151" s="220">
        <v>0</v>
      </c>
      <c r="I151" s="220">
        <v>0.3</v>
      </c>
      <c r="J151" s="220">
        <v>2</v>
      </c>
      <c r="K151" s="223">
        <v>5</v>
      </c>
      <c r="L151" s="196"/>
      <c r="M151" s="289" t="str">
        <f t="shared" si="10"/>
        <v>Ile-de-FranceAgrumes</v>
      </c>
      <c r="N151" s="289" t="str">
        <f t="shared" si="11"/>
        <v>Ile-de-FranceAgrumesClémentinier</v>
      </c>
      <c r="P151" s="240" t="s">
        <v>21</v>
      </c>
      <c r="Q151" s="241" t="s">
        <v>634</v>
      </c>
      <c r="R151" s="241" t="s">
        <v>135</v>
      </c>
      <c r="S151" s="220"/>
      <c r="T151" s="220"/>
      <c r="U151" s="220"/>
      <c r="V151" s="223"/>
    </row>
    <row r="152" spans="2:22" x14ac:dyDescent="0.3">
      <c r="B152" t="str">
        <f t="shared" si="8"/>
        <v>Ile-de-FranceAutres</v>
      </c>
      <c r="C152" t="str">
        <f t="shared" si="9"/>
        <v>Ile-de-FranceAutresPrunier</v>
      </c>
      <c r="E152" s="228" t="s">
        <v>21</v>
      </c>
      <c r="F152" s="135" t="s">
        <v>170</v>
      </c>
      <c r="G152" s="135" t="s">
        <v>162</v>
      </c>
      <c r="H152" s="220">
        <v>0.01</v>
      </c>
      <c r="I152" s="220">
        <v>0.33</v>
      </c>
      <c r="J152" s="220">
        <v>5.14</v>
      </c>
      <c r="K152" s="223">
        <v>9.34</v>
      </c>
      <c r="L152" s="196"/>
      <c r="M152" s="289" t="str">
        <f t="shared" si="10"/>
        <v>Ile-de-FranceAutres</v>
      </c>
      <c r="N152" s="289" t="str">
        <f t="shared" si="11"/>
        <v>Ile-de-FranceAutresPrunier</v>
      </c>
      <c r="P152" s="240" t="s">
        <v>21</v>
      </c>
      <c r="Q152" s="241" t="s">
        <v>170</v>
      </c>
      <c r="R152" s="241" t="s">
        <v>162</v>
      </c>
      <c r="S152" s="220"/>
      <c r="T152" s="220"/>
      <c r="U152" s="220"/>
      <c r="V152" s="223"/>
    </row>
    <row r="153" spans="2:22" x14ac:dyDescent="0.3">
      <c r="B153" t="str">
        <f t="shared" si="8"/>
        <v>Ile-de-FranceCerisier</v>
      </c>
      <c r="C153" t="str">
        <f t="shared" si="9"/>
        <v>Ile-de-FranceCerisierCerisier</v>
      </c>
      <c r="E153" s="228" t="s">
        <v>21</v>
      </c>
      <c r="F153" s="135" t="s">
        <v>132</v>
      </c>
      <c r="G153" s="135" t="s">
        <v>132</v>
      </c>
      <c r="H153" s="220">
        <v>0</v>
      </c>
      <c r="I153" s="220">
        <v>0.36</v>
      </c>
      <c r="J153" s="220">
        <v>4.0599999999999996</v>
      </c>
      <c r="K153" s="223">
        <v>8.0299999999999994</v>
      </c>
      <c r="L153" s="196"/>
      <c r="M153" s="289" t="str">
        <f t="shared" si="10"/>
        <v>Ile-de-FranceCerisier</v>
      </c>
      <c r="N153" s="289" t="str">
        <f t="shared" si="11"/>
        <v>Ile-de-FranceCerisierCerisier</v>
      </c>
      <c r="P153" s="240" t="s">
        <v>21</v>
      </c>
      <c r="Q153" s="241" t="s">
        <v>132</v>
      </c>
      <c r="R153" s="241" t="s">
        <v>132</v>
      </c>
      <c r="S153" s="220"/>
      <c r="T153" s="220"/>
      <c r="U153" s="220"/>
      <c r="V153" s="223"/>
    </row>
    <row r="154" spans="2:22" x14ac:dyDescent="0.3">
      <c r="B154" t="str">
        <f t="shared" si="8"/>
        <v>Ile-de-FranceMirabellier</v>
      </c>
      <c r="C154" t="str">
        <f t="shared" si="9"/>
        <v>Ile-de-FranceMirabellierAutres</v>
      </c>
      <c r="E154" s="228" t="s">
        <v>21</v>
      </c>
      <c r="F154" s="135" t="s">
        <v>145</v>
      </c>
      <c r="G154" s="135" t="s">
        <v>170</v>
      </c>
      <c r="H154" s="220">
        <v>0.01</v>
      </c>
      <c r="I154" s="220">
        <v>0.33</v>
      </c>
      <c r="J154" s="220">
        <v>5.14</v>
      </c>
      <c r="K154" s="223">
        <v>9.34</v>
      </c>
      <c r="L154" s="196"/>
      <c r="M154" s="289" t="str">
        <f t="shared" si="10"/>
        <v>Ile-de-FranceMirabellier</v>
      </c>
      <c r="N154" s="289" t="str">
        <f t="shared" si="11"/>
        <v>Ile-de-FranceMirabellierAutres</v>
      </c>
      <c r="P154" s="240" t="s">
        <v>21</v>
      </c>
      <c r="Q154" s="241" t="s">
        <v>145</v>
      </c>
      <c r="R154" s="241" t="s">
        <v>170</v>
      </c>
      <c r="S154" s="220"/>
      <c r="T154" s="220"/>
      <c r="U154" s="220"/>
      <c r="V154" s="223"/>
    </row>
    <row r="155" spans="2:22" x14ac:dyDescent="0.3">
      <c r="B155" t="str">
        <f t="shared" si="8"/>
        <v>Ile-de-FranceNectarinier</v>
      </c>
      <c r="C155" t="str">
        <f t="shared" si="9"/>
        <v>Ile-de-FranceNectarinierNectarinier-Pêcher</v>
      </c>
      <c r="E155" s="228" t="s">
        <v>21</v>
      </c>
      <c r="F155" s="135" t="s">
        <v>151</v>
      </c>
      <c r="G155" s="135" t="s">
        <v>635</v>
      </c>
      <c r="H155" s="220">
        <v>0.03</v>
      </c>
      <c r="I155" s="220">
        <v>0.84</v>
      </c>
      <c r="J155" s="220">
        <v>9.25</v>
      </c>
      <c r="K155" s="223">
        <v>19.38</v>
      </c>
      <c r="L155" s="196"/>
      <c r="M155" s="289" t="str">
        <f t="shared" si="10"/>
        <v>Ile-de-FranceNectarinier</v>
      </c>
      <c r="N155" s="289" t="str">
        <f t="shared" si="11"/>
        <v>Ile-de-FranceNectarinierNectarinier-Pêcher</v>
      </c>
      <c r="P155" s="240" t="s">
        <v>21</v>
      </c>
      <c r="Q155" s="241" t="s">
        <v>151</v>
      </c>
      <c r="R155" s="241" t="s">
        <v>635</v>
      </c>
      <c r="S155" s="220"/>
      <c r="T155" s="220"/>
      <c r="U155" s="220"/>
      <c r="V155" s="223"/>
    </row>
    <row r="156" spans="2:22" x14ac:dyDescent="0.3">
      <c r="B156" t="str">
        <f t="shared" si="8"/>
        <v>Ile-de-FranceNoyer</v>
      </c>
      <c r="C156" t="str">
        <f t="shared" si="9"/>
        <v>Ile-de-FranceNoyerAutres</v>
      </c>
      <c r="E156" s="228" t="s">
        <v>21</v>
      </c>
      <c r="F156" s="135" t="s">
        <v>154</v>
      </c>
      <c r="G156" s="135" t="s">
        <v>170</v>
      </c>
      <c r="H156" s="220">
        <v>0.01</v>
      </c>
      <c r="I156" s="220">
        <v>0.33</v>
      </c>
      <c r="J156" s="220">
        <v>5.14</v>
      </c>
      <c r="K156" s="223">
        <v>9.34</v>
      </c>
      <c r="L156" s="196"/>
      <c r="M156" s="289" t="str">
        <f t="shared" si="10"/>
        <v>Ile-de-FranceNoyer</v>
      </c>
      <c r="N156" s="289" t="str">
        <f t="shared" si="11"/>
        <v>Ile-de-FranceNoyerAutres</v>
      </c>
      <c r="P156" s="240" t="s">
        <v>21</v>
      </c>
      <c r="Q156" s="241" t="s">
        <v>154</v>
      </c>
      <c r="R156" s="241" t="s">
        <v>170</v>
      </c>
      <c r="S156" s="220"/>
      <c r="T156" s="220"/>
      <c r="U156" s="220"/>
      <c r="V156" s="223"/>
    </row>
    <row r="157" spans="2:22" x14ac:dyDescent="0.3">
      <c r="B157" t="str">
        <f t="shared" si="8"/>
        <v>Ile-de-FrancePêcher</v>
      </c>
      <c r="C157" t="str">
        <f t="shared" si="9"/>
        <v>Ile-de-FrancePêcherNectarinier-Pêcher</v>
      </c>
      <c r="E157" s="228" t="s">
        <v>21</v>
      </c>
      <c r="F157" s="135" t="s">
        <v>158</v>
      </c>
      <c r="G157" s="135" t="s">
        <v>635</v>
      </c>
      <c r="H157" s="220">
        <v>0.03</v>
      </c>
      <c r="I157" s="220">
        <v>0.84</v>
      </c>
      <c r="J157" s="220">
        <v>9.25</v>
      </c>
      <c r="K157" s="223">
        <v>19.38</v>
      </c>
      <c r="L157" s="196"/>
      <c r="M157" s="289" t="str">
        <f t="shared" si="10"/>
        <v>Ile-de-FrancePêcher</v>
      </c>
      <c r="N157" s="289" t="str">
        <f t="shared" si="11"/>
        <v>Ile-de-FrancePêcherNectarinier-Pêcher</v>
      </c>
      <c r="P157" s="240" t="s">
        <v>21</v>
      </c>
      <c r="Q157" s="241" t="s">
        <v>158</v>
      </c>
      <c r="R157" s="241" t="s">
        <v>635</v>
      </c>
      <c r="S157" s="220"/>
      <c r="T157" s="220"/>
      <c r="U157" s="220"/>
      <c r="V157" s="223"/>
    </row>
    <row r="158" spans="2:22" x14ac:dyDescent="0.3">
      <c r="B158" t="str">
        <f t="shared" si="8"/>
        <v>Ile-de-FrancePoirier</v>
      </c>
      <c r="C158" t="str">
        <f t="shared" si="9"/>
        <v>Ile-de-FrancePoirierAutres</v>
      </c>
      <c r="E158" s="228" t="s">
        <v>21</v>
      </c>
      <c r="F158" s="135" t="s">
        <v>159</v>
      </c>
      <c r="G158" s="135" t="s">
        <v>170</v>
      </c>
      <c r="H158" s="220">
        <v>0.01</v>
      </c>
      <c r="I158" s="220">
        <v>0.33</v>
      </c>
      <c r="J158" s="220">
        <v>5.14</v>
      </c>
      <c r="K158" s="223">
        <v>9.34</v>
      </c>
      <c r="L158" s="196"/>
      <c r="M158" s="289" t="str">
        <f t="shared" si="10"/>
        <v>Ile-de-FrancePoirier</v>
      </c>
      <c r="N158" s="289" t="str">
        <f t="shared" si="11"/>
        <v>Ile-de-FrancePoirierAutres</v>
      </c>
      <c r="P158" s="240" t="s">
        <v>21</v>
      </c>
      <c r="Q158" s="241" t="s">
        <v>159</v>
      </c>
      <c r="R158" s="241" t="s">
        <v>170</v>
      </c>
      <c r="S158" s="220"/>
      <c r="T158" s="220"/>
      <c r="U158" s="220"/>
      <c r="V158" s="223"/>
    </row>
    <row r="159" spans="2:22" x14ac:dyDescent="0.3">
      <c r="B159" t="str">
        <f t="shared" si="8"/>
        <v>Ile-de-FrancePommier</v>
      </c>
      <c r="C159" t="str">
        <f t="shared" si="9"/>
        <v>Ile-de-FrancePommierPommier</v>
      </c>
      <c r="E159" s="228" t="s">
        <v>21</v>
      </c>
      <c r="F159" s="135" t="s">
        <v>161</v>
      </c>
      <c r="G159" s="135" t="s">
        <v>161</v>
      </c>
      <c r="H159" s="220">
        <v>0</v>
      </c>
      <c r="I159" s="220">
        <v>0.36</v>
      </c>
      <c r="J159" s="220">
        <v>3.85</v>
      </c>
      <c r="K159" s="223">
        <v>20.05</v>
      </c>
      <c r="L159" s="196"/>
      <c r="M159" s="289" t="str">
        <f t="shared" si="10"/>
        <v>Ile-de-FrancePommier</v>
      </c>
      <c r="N159" s="289" t="str">
        <f t="shared" si="11"/>
        <v>Ile-de-FrancePommierPommier</v>
      </c>
      <c r="P159" s="240" t="s">
        <v>21</v>
      </c>
      <c r="Q159" s="241" t="s">
        <v>161</v>
      </c>
      <c r="R159" s="241" t="s">
        <v>161</v>
      </c>
      <c r="S159" s="220"/>
      <c r="T159" s="220"/>
      <c r="U159" s="220"/>
      <c r="V159" s="223"/>
    </row>
    <row r="160" spans="2:22" ht="15" thickBot="1" x14ac:dyDescent="0.35">
      <c r="B160" t="str">
        <f t="shared" si="8"/>
        <v>Ile-de-FrancePrunier</v>
      </c>
      <c r="C160" t="str">
        <f t="shared" si="9"/>
        <v>Ile-de-FrancePrunierAutres</v>
      </c>
      <c r="E160" s="228" t="s">
        <v>21</v>
      </c>
      <c r="F160" s="232" t="s">
        <v>162</v>
      </c>
      <c r="G160" s="232" t="s">
        <v>170</v>
      </c>
      <c r="H160" s="222">
        <v>0.01</v>
      </c>
      <c r="I160" s="222">
        <v>0.33</v>
      </c>
      <c r="J160" s="222">
        <v>5.14</v>
      </c>
      <c r="K160" s="224">
        <v>9.34</v>
      </c>
      <c r="L160" s="196"/>
      <c r="M160" s="289" t="str">
        <f t="shared" si="10"/>
        <v>Ile-de-FrancePrunier</v>
      </c>
      <c r="N160" s="289" t="str">
        <f t="shared" si="11"/>
        <v>Ile-de-FrancePrunierAutres</v>
      </c>
      <c r="P160" s="242" t="s">
        <v>21</v>
      </c>
      <c r="Q160" s="243" t="s">
        <v>162</v>
      </c>
      <c r="R160" s="243" t="s">
        <v>170</v>
      </c>
      <c r="S160" s="222"/>
      <c r="T160" s="222"/>
      <c r="U160" s="222"/>
      <c r="V160" s="224"/>
    </row>
    <row r="161" spans="2:22" ht="15" thickTop="1" x14ac:dyDescent="0.3">
      <c r="B161" t="str">
        <f t="shared" si="8"/>
        <v>Languedoc-RoussillonAbricotier</v>
      </c>
      <c r="C161" t="str">
        <f t="shared" si="9"/>
        <v>Languedoc-RoussillonAbricotierAbricotier</v>
      </c>
      <c r="E161" s="230" t="s">
        <v>22</v>
      </c>
      <c r="F161" s="135" t="s">
        <v>127</v>
      </c>
      <c r="G161" s="135" t="s">
        <v>127</v>
      </c>
      <c r="H161" s="220">
        <v>0</v>
      </c>
      <c r="I161" s="220">
        <v>0.37</v>
      </c>
      <c r="J161" s="220">
        <v>4.37</v>
      </c>
      <c r="K161" s="223">
        <v>9.24</v>
      </c>
      <c r="L161" s="196"/>
      <c r="M161" s="289" t="str">
        <f t="shared" si="10"/>
        <v>Languedoc-RoussillonAbricotier</v>
      </c>
      <c r="N161" s="289" t="str">
        <f t="shared" si="11"/>
        <v>Languedoc-RoussillonAbricotierAbricotier</v>
      </c>
      <c r="P161" s="240" t="s">
        <v>22</v>
      </c>
      <c r="Q161" s="241" t="s">
        <v>127</v>
      </c>
      <c r="R161" s="241" t="s">
        <v>127</v>
      </c>
      <c r="S161" s="220"/>
      <c r="T161" s="220"/>
      <c r="U161" s="220"/>
      <c r="V161" s="223"/>
    </row>
    <row r="162" spans="2:22" x14ac:dyDescent="0.3">
      <c r="B162" t="str">
        <f t="shared" si="8"/>
        <v>Languedoc-RoussillonAgrumes</v>
      </c>
      <c r="C162" t="str">
        <f t="shared" si="9"/>
        <v>Languedoc-RoussillonAgrumesClémentinier</v>
      </c>
      <c r="E162" s="230" t="s">
        <v>22</v>
      </c>
      <c r="F162" s="135" t="s">
        <v>634</v>
      </c>
      <c r="G162" s="135" t="s">
        <v>135</v>
      </c>
      <c r="H162" s="220">
        <v>0</v>
      </c>
      <c r="I162" s="220">
        <v>0.3</v>
      </c>
      <c r="J162" s="220">
        <v>2</v>
      </c>
      <c r="K162" s="223">
        <v>5</v>
      </c>
      <c r="L162" s="196"/>
      <c r="M162" s="289" t="str">
        <f t="shared" si="10"/>
        <v>Languedoc-RoussillonAgrumes</v>
      </c>
      <c r="N162" s="289" t="str">
        <f t="shared" si="11"/>
        <v>Languedoc-RoussillonAgrumesClémentinier</v>
      </c>
      <c r="P162" s="240" t="s">
        <v>22</v>
      </c>
      <c r="Q162" s="241" t="s">
        <v>634</v>
      </c>
      <c r="R162" s="241" t="s">
        <v>135</v>
      </c>
      <c r="S162" s="220"/>
      <c r="T162" s="220"/>
      <c r="U162" s="220"/>
      <c r="V162" s="223"/>
    </row>
    <row r="163" spans="2:22" x14ac:dyDescent="0.3">
      <c r="B163" t="str">
        <f t="shared" si="8"/>
        <v>Languedoc-RoussillonAutres</v>
      </c>
      <c r="C163" t="str">
        <f t="shared" si="9"/>
        <v>Languedoc-RoussillonAutresPrunier</v>
      </c>
      <c r="E163" s="230" t="s">
        <v>22</v>
      </c>
      <c r="F163" s="135" t="s">
        <v>170</v>
      </c>
      <c r="G163" s="135" t="s">
        <v>162</v>
      </c>
      <c r="H163" s="220">
        <v>0.04</v>
      </c>
      <c r="I163" s="220">
        <v>0.74</v>
      </c>
      <c r="J163" s="220">
        <v>5.16</v>
      </c>
      <c r="K163" s="223">
        <v>8.34</v>
      </c>
      <c r="L163" s="196"/>
      <c r="M163" s="289" t="str">
        <f t="shared" si="10"/>
        <v>Languedoc-RoussillonAutres</v>
      </c>
      <c r="N163" s="289" t="str">
        <f t="shared" si="11"/>
        <v>Languedoc-RoussillonAutresPrunier</v>
      </c>
      <c r="P163" s="240" t="s">
        <v>22</v>
      </c>
      <c r="Q163" s="241" t="s">
        <v>170</v>
      </c>
      <c r="R163" s="241" t="s">
        <v>162</v>
      </c>
      <c r="S163" s="220"/>
      <c r="T163" s="220"/>
      <c r="U163" s="220"/>
      <c r="V163" s="223"/>
    </row>
    <row r="164" spans="2:22" x14ac:dyDescent="0.3">
      <c r="B164" t="str">
        <f t="shared" si="8"/>
        <v>Languedoc-RoussillonCerisier</v>
      </c>
      <c r="C164" t="str">
        <f t="shared" si="9"/>
        <v>Languedoc-RoussillonCerisierCerisier</v>
      </c>
      <c r="E164" s="230" t="s">
        <v>22</v>
      </c>
      <c r="F164" s="135" t="s">
        <v>132</v>
      </c>
      <c r="G164" s="135" t="s">
        <v>132</v>
      </c>
      <c r="H164" s="220">
        <v>0</v>
      </c>
      <c r="I164" s="220">
        <v>0.26</v>
      </c>
      <c r="J164" s="220">
        <v>2.57</v>
      </c>
      <c r="K164" s="223">
        <v>7.59</v>
      </c>
      <c r="L164" s="196"/>
      <c r="M164" s="289" t="str">
        <f t="shared" si="10"/>
        <v>Languedoc-RoussillonCerisier</v>
      </c>
      <c r="N164" s="289" t="str">
        <f t="shared" si="11"/>
        <v>Languedoc-RoussillonCerisierCerisier</v>
      </c>
      <c r="P164" s="240" t="s">
        <v>22</v>
      </c>
      <c r="Q164" s="241" t="s">
        <v>132</v>
      </c>
      <c r="R164" s="241" t="s">
        <v>132</v>
      </c>
      <c r="S164" s="220"/>
      <c r="T164" s="220"/>
      <c r="U164" s="220"/>
      <c r="V164" s="223"/>
    </row>
    <row r="165" spans="2:22" x14ac:dyDescent="0.3">
      <c r="B165" t="str">
        <f t="shared" si="8"/>
        <v>Languedoc-RoussillonMirabellier</v>
      </c>
      <c r="C165" t="str">
        <f t="shared" si="9"/>
        <v>Languedoc-RoussillonMirabellierAutres</v>
      </c>
      <c r="E165" s="230" t="s">
        <v>22</v>
      </c>
      <c r="F165" s="135" t="s">
        <v>145</v>
      </c>
      <c r="G165" s="135" t="s">
        <v>170</v>
      </c>
      <c r="H165" s="220">
        <v>0.04</v>
      </c>
      <c r="I165" s="220">
        <v>0.74</v>
      </c>
      <c r="J165" s="220">
        <v>5.16</v>
      </c>
      <c r="K165" s="223">
        <v>8.34</v>
      </c>
      <c r="L165" s="196"/>
      <c r="M165" s="289" t="str">
        <f t="shared" si="10"/>
        <v>Languedoc-RoussillonMirabellier</v>
      </c>
      <c r="N165" s="289" t="str">
        <f t="shared" si="11"/>
        <v>Languedoc-RoussillonMirabellierAutres</v>
      </c>
      <c r="P165" s="240" t="s">
        <v>22</v>
      </c>
      <c r="Q165" s="241" t="s">
        <v>145</v>
      </c>
      <c r="R165" s="241" t="s">
        <v>170</v>
      </c>
      <c r="S165" s="220"/>
      <c r="T165" s="220"/>
      <c r="U165" s="220"/>
      <c r="V165" s="223"/>
    </row>
    <row r="166" spans="2:22" x14ac:dyDescent="0.3">
      <c r="B166" t="str">
        <f t="shared" si="8"/>
        <v>Languedoc-RoussillonNectarinier</v>
      </c>
      <c r="C166" t="str">
        <f t="shared" si="9"/>
        <v>Languedoc-RoussillonNectarinierNectarinier-Pêcher</v>
      </c>
      <c r="E166" s="230" t="s">
        <v>22</v>
      </c>
      <c r="F166" s="135" t="s">
        <v>151</v>
      </c>
      <c r="G166" s="135" t="s">
        <v>635</v>
      </c>
      <c r="H166" s="220">
        <v>0.02</v>
      </c>
      <c r="I166" s="220">
        <v>0.85</v>
      </c>
      <c r="J166" s="220">
        <v>8.84</v>
      </c>
      <c r="K166" s="223">
        <v>18.149999999999999</v>
      </c>
      <c r="L166" s="196"/>
      <c r="M166" s="289" t="str">
        <f t="shared" si="10"/>
        <v>Languedoc-RoussillonNectarinier</v>
      </c>
      <c r="N166" s="289" t="str">
        <f t="shared" si="11"/>
        <v>Languedoc-RoussillonNectarinierNectarinier-Pêcher</v>
      </c>
      <c r="P166" s="240" t="s">
        <v>22</v>
      </c>
      <c r="Q166" s="241" t="s">
        <v>151</v>
      </c>
      <c r="R166" s="241" t="s">
        <v>635</v>
      </c>
      <c r="S166" s="220"/>
      <c r="T166" s="220"/>
      <c r="U166" s="220"/>
      <c r="V166" s="223"/>
    </row>
    <row r="167" spans="2:22" x14ac:dyDescent="0.3">
      <c r="B167" t="str">
        <f t="shared" si="8"/>
        <v>Languedoc-RoussillonNoyer</v>
      </c>
      <c r="C167" t="str">
        <f t="shared" si="9"/>
        <v>Languedoc-RoussillonNoyerAutres</v>
      </c>
      <c r="E167" s="230" t="s">
        <v>22</v>
      </c>
      <c r="F167" s="135" t="s">
        <v>154</v>
      </c>
      <c r="G167" s="135" t="s">
        <v>170</v>
      </c>
      <c r="H167" s="220">
        <v>0.04</v>
      </c>
      <c r="I167" s="220">
        <v>0.74</v>
      </c>
      <c r="J167" s="220">
        <v>5.16</v>
      </c>
      <c r="K167" s="223">
        <v>8.34</v>
      </c>
      <c r="L167" s="196"/>
      <c r="M167" s="289" t="str">
        <f t="shared" si="10"/>
        <v>Languedoc-RoussillonNoyer</v>
      </c>
      <c r="N167" s="289" t="str">
        <f t="shared" si="11"/>
        <v>Languedoc-RoussillonNoyerAutres</v>
      </c>
      <c r="P167" s="240" t="s">
        <v>22</v>
      </c>
      <c r="Q167" s="241" t="s">
        <v>154</v>
      </c>
      <c r="R167" s="241" t="s">
        <v>170</v>
      </c>
      <c r="S167" s="220"/>
      <c r="T167" s="220"/>
      <c r="U167" s="220"/>
      <c r="V167" s="223"/>
    </row>
    <row r="168" spans="2:22" x14ac:dyDescent="0.3">
      <c r="B168" t="str">
        <f t="shared" si="8"/>
        <v>Languedoc-RoussillonPêcher</v>
      </c>
      <c r="C168" t="str">
        <f t="shared" si="9"/>
        <v>Languedoc-RoussillonPêcherNectarinier-Pêcher</v>
      </c>
      <c r="E168" s="230" t="s">
        <v>22</v>
      </c>
      <c r="F168" s="135" t="s">
        <v>158</v>
      </c>
      <c r="G168" s="135" t="s">
        <v>635</v>
      </c>
      <c r="H168" s="220">
        <v>0.02</v>
      </c>
      <c r="I168" s="220">
        <v>0.85</v>
      </c>
      <c r="J168" s="220">
        <v>8.84</v>
      </c>
      <c r="K168" s="223">
        <v>18.149999999999999</v>
      </c>
      <c r="L168" s="196"/>
      <c r="M168" s="289" t="str">
        <f t="shared" si="10"/>
        <v>Languedoc-RoussillonPêcher</v>
      </c>
      <c r="N168" s="289" t="str">
        <f t="shared" si="11"/>
        <v>Languedoc-RoussillonPêcherNectarinier-Pêcher</v>
      </c>
      <c r="P168" s="240" t="s">
        <v>22</v>
      </c>
      <c r="Q168" s="241" t="s">
        <v>158</v>
      </c>
      <c r="R168" s="241" t="s">
        <v>635</v>
      </c>
      <c r="S168" s="220"/>
      <c r="T168" s="220"/>
      <c r="U168" s="220"/>
      <c r="V168" s="223"/>
    </row>
    <row r="169" spans="2:22" x14ac:dyDescent="0.3">
      <c r="B169" t="str">
        <f t="shared" si="8"/>
        <v>Languedoc-RoussillonPoirier</v>
      </c>
      <c r="C169" t="str">
        <f t="shared" si="9"/>
        <v>Languedoc-RoussillonPoirierAutres</v>
      </c>
      <c r="E169" s="230" t="s">
        <v>22</v>
      </c>
      <c r="F169" s="135" t="s">
        <v>159</v>
      </c>
      <c r="G169" s="135" t="s">
        <v>170</v>
      </c>
      <c r="H169" s="220">
        <v>0.04</v>
      </c>
      <c r="I169" s="220">
        <v>0.74</v>
      </c>
      <c r="J169" s="220">
        <v>5.16</v>
      </c>
      <c r="K169" s="223">
        <v>8.34</v>
      </c>
      <c r="L169" s="196"/>
      <c r="M169" s="289" t="str">
        <f t="shared" si="10"/>
        <v>Languedoc-RoussillonPoirier</v>
      </c>
      <c r="N169" s="289" t="str">
        <f t="shared" si="11"/>
        <v>Languedoc-RoussillonPoirierAutres</v>
      </c>
      <c r="P169" s="240" t="s">
        <v>22</v>
      </c>
      <c r="Q169" s="241" t="s">
        <v>159</v>
      </c>
      <c r="R169" s="241" t="s">
        <v>170</v>
      </c>
      <c r="S169" s="220"/>
      <c r="T169" s="220"/>
      <c r="U169" s="220"/>
      <c r="V169" s="223"/>
    </row>
    <row r="170" spans="2:22" x14ac:dyDescent="0.3">
      <c r="B170" t="str">
        <f t="shared" si="8"/>
        <v>Languedoc-RoussillonPommier</v>
      </c>
      <c r="C170" t="str">
        <f t="shared" si="9"/>
        <v>Languedoc-RoussillonPommierPommier</v>
      </c>
      <c r="E170" s="230" t="s">
        <v>22</v>
      </c>
      <c r="F170" s="135" t="s">
        <v>161</v>
      </c>
      <c r="G170" s="135" t="s">
        <v>161</v>
      </c>
      <c r="H170" s="220">
        <v>0.03</v>
      </c>
      <c r="I170" s="220">
        <v>0.5</v>
      </c>
      <c r="J170" s="220">
        <v>12.93</v>
      </c>
      <c r="K170" s="223">
        <v>23.25</v>
      </c>
      <c r="L170" s="196"/>
      <c r="M170" s="289" t="str">
        <f t="shared" si="10"/>
        <v>Languedoc-RoussillonPommier</v>
      </c>
      <c r="N170" s="289" t="str">
        <f t="shared" si="11"/>
        <v>Languedoc-RoussillonPommierPommier</v>
      </c>
      <c r="P170" s="240" t="s">
        <v>22</v>
      </c>
      <c r="Q170" s="241" t="s">
        <v>161</v>
      </c>
      <c r="R170" s="241" t="s">
        <v>161</v>
      </c>
      <c r="S170" s="220"/>
      <c r="T170" s="220"/>
      <c r="U170" s="220"/>
      <c r="V170" s="223"/>
    </row>
    <row r="171" spans="2:22" ht="15" thickBot="1" x14ac:dyDescent="0.35">
      <c r="B171" t="str">
        <f t="shared" si="8"/>
        <v>Languedoc-RoussillonPrunier</v>
      </c>
      <c r="C171" t="str">
        <f t="shared" si="9"/>
        <v>Languedoc-RoussillonPrunierPrunier</v>
      </c>
      <c r="E171" s="231" t="s">
        <v>22</v>
      </c>
      <c r="F171" s="232" t="s">
        <v>162</v>
      </c>
      <c r="G171" s="232" t="s">
        <v>162</v>
      </c>
      <c r="H171" s="222">
        <v>0.04</v>
      </c>
      <c r="I171" s="222">
        <v>0.74</v>
      </c>
      <c r="J171" s="222">
        <v>5.16</v>
      </c>
      <c r="K171" s="224">
        <v>8.34</v>
      </c>
      <c r="L171" s="196"/>
      <c r="M171" s="289" t="str">
        <f t="shared" si="10"/>
        <v>Languedoc-RoussillonPrunier</v>
      </c>
      <c r="N171" s="289" t="str">
        <f t="shared" si="11"/>
        <v>Languedoc-RoussillonPrunierPrunier</v>
      </c>
      <c r="P171" s="242" t="s">
        <v>22</v>
      </c>
      <c r="Q171" s="243" t="s">
        <v>162</v>
      </c>
      <c r="R171" s="243" t="s">
        <v>162</v>
      </c>
      <c r="S171" s="222"/>
      <c r="T171" s="222"/>
      <c r="U171" s="222"/>
      <c r="V171" s="224"/>
    </row>
    <row r="172" spans="2:22" ht="15" thickTop="1" x14ac:dyDescent="0.3">
      <c r="B172" t="str">
        <f t="shared" si="8"/>
        <v>LimousinAbricotier</v>
      </c>
      <c r="C172" t="str">
        <f t="shared" si="9"/>
        <v>LimousinAbricotierAbricotier</v>
      </c>
      <c r="E172" s="230" t="s">
        <v>23</v>
      </c>
      <c r="F172" s="135" t="s">
        <v>127</v>
      </c>
      <c r="G172" s="135" t="s">
        <v>127</v>
      </c>
      <c r="H172" s="220">
        <v>0.01</v>
      </c>
      <c r="I172" s="220">
        <v>0.62</v>
      </c>
      <c r="J172" s="220">
        <v>5.1100000000000003</v>
      </c>
      <c r="K172" s="223">
        <v>10.66</v>
      </c>
      <c r="L172" s="196"/>
      <c r="M172" s="289" t="str">
        <f t="shared" si="10"/>
        <v>LimousinAbricotier</v>
      </c>
      <c r="N172" s="289" t="str">
        <f t="shared" si="11"/>
        <v>LimousinAbricotierAbricotier</v>
      </c>
      <c r="P172" s="240" t="s">
        <v>23</v>
      </c>
      <c r="Q172" s="241" t="s">
        <v>127</v>
      </c>
      <c r="R172" s="241" t="s">
        <v>127</v>
      </c>
      <c r="S172" s="220"/>
      <c r="T172" s="220"/>
      <c r="U172" s="220"/>
      <c r="V172" s="223"/>
    </row>
    <row r="173" spans="2:22" x14ac:dyDescent="0.3">
      <c r="B173" t="str">
        <f t="shared" si="8"/>
        <v>LimousinAgrumes</v>
      </c>
      <c r="C173" t="str">
        <f t="shared" si="9"/>
        <v>LimousinAgrumesClémentinier</v>
      </c>
      <c r="E173" s="230" t="s">
        <v>23</v>
      </c>
      <c r="F173" s="135" t="s">
        <v>634</v>
      </c>
      <c r="G173" s="135" t="s">
        <v>135</v>
      </c>
      <c r="H173" s="220">
        <v>0</v>
      </c>
      <c r="I173" s="220">
        <v>0.3</v>
      </c>
      <c r="J173" s="220">
        <v>2</v>
      </c>
      <c r="K173" s="223">
        <v>5</v>
      </c>
      <c r="L173" s="196"/>
      <c r="M173" s="289" t="str">
        <f t="shared" si="10"/>
        <v>LimousinAgrumes</v>
      </c>
      <c r="N173" s="289" t="str">
        <f t="shared" si="11"/>
        <v>LimousinAgrumesClémentinier</v>
      </c>
      <c r="P173" s="240" t="s">
        <v>23</v>
      </c>
      <c r="Q173" s="241" t="s">
        <v>634</v>
      </c>
      <c r="R173" s="241" t="s">
        <v>135</v>
      </c>
      <c r="S173" s="220"/>
      <c r="T173" s="220"/>
      <c r="U173" s="220"/>
      <c r="V173" s="223"/>
    </row>
    <row r="174" spans="2:22" x14ac:dyDescent="0.3">
      <c r="B174" t="str">
        <f t="shared" si="8"/>
        <v>LimousinAutres</v>
      </c>
      <c r="C174" t="str">
        <f t="shared" si="9"/>
        <v>LimousinAutresPrunier</v>
      </c>
      <c r="E174" s="230" t="s">
        <v>23</v>
      </c>
      <c r="F174" s="135" t="s">
        <v>170</v>
      </c>
      <c r="G174" s="135" t="s">
        <v>162</v>
      </c>
      <c r="H174" s="220">
        <v>0.01</v>
      </c>
      <c r="I174" s="220">
        <v>0.33</v>
      </c>
      <c r="J174" s="220">
        <v>5.14</v>
      </c>
      <c r="K174" s="223">
        <v>9.34</v>
      </c>
      <c r="L174" s="196"/>
      <c r="M174" s="289" t="str">
        <f t="shared" si="10"/>
        <v>LimousinAutres</v>
      </c>
      <c r="N174" s="289" t="str">
        <f t="shared" si="11"/>
        <v>LimousinAutresPrunier</v>
      </c>
      <c r="P174" s="240" t="s">
        <v>23</v>
      </c>
      <c r="Q174" s="241" t="s">
        <v>170</v>
      </c>
      <c r="R174" s="241" t="s">
        <v>162</v>
      </c>
      <c r="S174" s="220"/>
      <c r="T174" s="220"/>
      <c r="U174" s="220"/>
      <c r="V174" s="223"/>
    </row>
    <row r="175" spans="2:22" x14ac:dyDescent="0.3">
      <c r="B175" t="str">
        <f t="shared" si="8"/>
        <v>LimousinCerisier</v>
      </c>
      <c r="C175" t="str">
        <f t="shared" si="9"/>
        <v>LimousinCerisierCerisier</v>
      </c>
      <c r="E175" s="230" t="s">
        <v>23</v>
      </c>
      <c r="F175" s="135" t="s">
        <v>132</v>
      </c>
      <c r="G175" s="135" t="s">
        <v>132</v>
      </c>
      <c r="H175" s="220">
        <v>0</v>
      </c>
      <c r="I175" s="220">
        <v>0.36</v>
      </c>
      <c r="J175" s="220">
        <v>4.0599999999999996</v>
      </c>
      <c r="K175" s="223">
        <v>8.0299999999999994</v>
      </c>
      <c r="L175" s="196"/>
      <c r="M175" s="289" t="str">
        <f t="shared" si="10"/>
        <v>LimousinCerisier</v>
      </c>
      <c r="N175" s="289" t="str">
        <f t="shared" si="11"/>
        <v>LimousinCerisierCerisier</v>
      </c>
      <c r="P175" s="240" t="s">
        <v>23</v>
      </c>
      <c r="Q175" s="241" t="s">
        <v>132</v>
      </c>
      <c r="R175" s="241" t="s">
        <v>132</v>
      </c>
      <c r="S175" s="220"/>
      <c r="T175" s="220"/>
      <c r="U175" s="220"/>
      <c r="V175" s="223"/>
    </row>
    <row r="176" spans="2:22" x14ac:dyDescent="0.3">
      <c r="B176" t="str">
        <f t="shared" si="8"/>
        <v>LimousinMirabellier</v>
      </c>
      <c r="C176" t="str">
        <f t="shared" si="9"/>
        <v>LimousinMirabellierAutres</v>
      </c>
      <c r="E176" s="230" t="s">
        <v>23</v>
      </c>
      <c r="F176" s="135" t="s">
        <v>145</v>
      </c>
      <c r="G176" s="135" t="s">
        <v>170</v>
      </c>
      <c r="H176" s="220">
        <v>0.01</v>
      </c>
      <c r="I176" s="220">
        <v>0.33</v>
      </c>
      <c r="J176" s="220">
        <v>5.14</v>
      </c>
      <c r="K176" s="223">
        <v>9.34</v>
      </c>
      <c r="L176" s="196"/>
      <c r="M176" s="289" t="str">
        <f t="shared" si="10"/>
        <v>LimousinMirabellier</v>
      </c>
      <c r="N176" s="289" t="str">
        <f t="shared" si="11"/>
        <v>LimousinMirabellierAutres</v>
      </c>
      <c r="P176" s="240" t="s">
        <v>23</v>
      </c>
      <c r="Q176" s="241" t="s">
        <v>145</v>
      </c>
      <c r="R176" s="241" t="s">
        <v>170</v>
      </c>
      <c r="S176" s="220"/>
      <c r="T176" s="220"/>
      <c r="U176" s="220"/>
      <c r="V176" s="223"/>
    </row>
    <row r="177" spans="2:22" x14ac:dyDescent="0.3">
      <c r="B177" t="str">
        <f t="shared" si="8"/>
        <v>LimousinNectarinier</v>
      </c>
      <c r="C177" t="str">
        <f t="shared" si="9"/>
        <v>LimousinNectarinierNectarinier-Pêcher</v>
      </c>
      <c r="E177" s="230" t="s">
        <v>23</v>
      </c>
      <c r="F177" s="135" t="s">
        <v>151</v>
      </c>
      <c r="G177" s="135" t="s">
        <v>635</v>
      </c>
      <c r="H177" s="220">
        <v>0.03</v>
      </c>
      <c r="I177" s="220">
        <v>0.84</v>
      </c>
      <c r="J177" s="220">
        <v>9.25</v>
      </c>
      <c r="K177" s="223">
        <v>19.38</v>
      </c>
      <c r="L177" s="196"/>
      <c r="M177" s="289" t="str">
        <f t="shared" si="10"/>
        <v>LimousinNectarinier</v>
      </c>
      <c r="N177" s="289" t="str">
        <f t="shared" si="11"/>
        <v>LimousinNectarinierNectarinier-Pêcher</v>
      </c>
      <c r="P177" s="240" t="s">
        <v>23</v>
      </c>
      <c r="Q177" s="241" t="s">
        <v>151</v>
      </c>
      <c r="R177" s="241" t="s">
        <v>635</v>
      </c>
      <c r="S177" s="220"/>
      <c r="T177" s="220"/>
      <c r="U177" s="220"/>
      <c r="V177" s="223"/>
    </row>
    <row r="178" spans="2:22" x14ac:dyDescent="0.3">
      <c r="B178" t="str">
        <f t="shared" si="8"/>
        <v>LimousinNoyer</v>
      </c>
      <c r="C178" t="str">
        <f t="shared" si="9"/>
        <v>LimousinNoyerAutres</v>
      </c>
      <c r="E178" s="230" t="s">
        <v>23</v>
      </c>
      <c r="F178" s="135" t="s">
        <v>154</v>
      </c>
      <c r="G178" s="135" t="s">
        <v>170</v>
      </c>
      <c r="H178" s="220">
        <v>0.01</v>
      </c>
      <c r="I178" s="220">
        <v>0.33</v>
      </c>
      <c r="J178" s="220">
        <v>5.14</v>
      </c>
      <c r="K178" s="223">
        <v>9.34</v>
      </c>
      <c r="L178" s="196"/>
      <c r="M178" s="289" t="str">
        <f t="shared" si="10"/>
        <v>LimousinNoyer</v>
      </c>
      <c r="N178" s="289" t="str">
        <f t="shared" si="11"/>
        <v>LimousinNoyerAutres</v>
      </c>
      <c r="P178" s="240" t="s">
        <v>23</v>
      </c>
      <c r="Q178" s="241" t="s">
        <v>154</v>
      </c>
      <c r="R178" s="241" t="s">
        <v>170</v>
      </c>
      <c r="S178" s="220"/>
      <c r="T178" s="220"/>
      <c r="U178" s="220"/>
      <c r="V178" s="223"/>
    </row>
    <row r="179" spans="2:22" x14ac:dyDescent="0.3">
      <c r="B179" t="str">
        <f t="shared" si="8"/>
        <v>LimousinPêcher</v>
      </c>
      <c r="C179" t="str">
        <f t="shared" si="9"/>
        <v>LimousinPêcherNectarinier-Pêcher</v>
      </c>
      <c r="E179" s="230" t="s">
        <v>23</v>
      </c>
      <c r="F179" s="135" t="s">
        <v>158</v>
      </c>
      <c r="G179" s="135" t="s">
        <v>635</v>
      </c>
      <c r="H179" s="220">
        <v>0.03</v>
      </c>
      <c r="I179" s="220">
        <v>0.84</v>
      </c>
      <c r="J179" s="220">
        <v>9.25</v>
      </c>
      <c r="K179" s="223">
        <v>19.38</v>
      </c>
      <c r="L179" s="196"/>
      <c r="M179" s="289" t="str">
        <f t="shared" si="10"/>
        <v>LimousinPêcher</v>
      </c>
      <c r="N179" s="289" t="str">
        <f t="shared" si="11"/>
        <v>LimousinPêcherNectarinier-Pêcher</v>
      </c>
      <c r="P179" s="240" t="s">
        <v>23</v>
      </c>
      <c r="Q179" s="241" t="s">
        <v>158</v>
      </c>
      <c r="R179" s="241" t="s">
        <v>635</v>
      </c>
      <c r="S179" s="220"/>
      <c r="T179" s="220"/>
      <c r="U179" s="220"/>
      <c r="V179" s="223"/>
    </row>
    <row r="180" spans="2:22" x14ac:dyDescent="0.3">
      <c r="B180" t="str">
        <f t="shared" si="8"/>
        <v>LimousinPoirier</v>
      </c>
      <c r="C180" t="str">
        <f t="shared" si="9"/>
        <v>LimousinPoirierAutres</v>
      </c>
      <c r="E180" s="230" t="s">
        <v>23</v>
      </c>
      <c r="F180" s="135" t="s">
        <v>159</v>
      </c>
      <c r="G180" s="135" t="s">
        <v>170</v>
      </c>
      <c r="H180" s="220">
        <v>0.01</v>
      </c>
      <c r="I180" s="220">
        <v>0.33</v>
      </c>
      <c r="J180" s="220">
        <v>5.14</v>
      </c>
      <c r="K180" s="223">
        <v>9.34</v>
      </c>
      <c r="L180" s="196"/>
      <c r="M180" s="289" t="str">
        <f t="shared" si="10"/>
        <v>LimousinPoirier</v>
      </c>
      <c r="N180" s="289" t="str">
        <f t="shared" si="11"/>
        <v>LimousinPoirierAutres</v>
      </c>
      <c r="P180" s="240" t="s">
        <v>23</v>
      </c>
      <c r="Q180" s="241" t="s">
        <v>159</v>
      </c>
      <c r="R180" s="241" t="s">
        <v>170</v>
      </c>
      <c r="S180" s="220"/>
      <c r="T180" s="220"/>
      <c r="U180" s="220"/>
      <c r="V180" s="223"/>
    </row>
    <row r="181" spans="2:22" x14ac:dyDescent="0.3">
      <c r="B181" t="str">
        <f t="shared" si="8"/>
        <v>LimousinPommier</v>
      </c>
      <c r="C181" t="str">
        <f t="shared" si="9"/>
        <v>LimousinPommierPommier</v>
      </c>
      <c r="E181" s="230" t="s">
        <v>23</v>
      </c>
      <c r="F181" s="135" t="s">
        <v>161</v>
      </c>
      <c r="G181" s="135" t="s">
        <v>161</v>
      </c>
      <c r="H181" s="220">
        <v>0.12</v>
      </c>
      <c r="I181" s="220">
        <v>0.74</v>
      </c>
      <c r="J181" s="220">
        <v>23.1</v>
      </c>
      <c r="K181" s="223">
        <v>36.14</v>
      </c>
      <c r="L181" s="196"/>
      <c r="M181" s="289" t="str">
        <f t="shared" si="10"/>
        <v>LimousinPommier</v>
      </c>
      <c r="N181" s="289" t="str">
        <f t="shared" si="11"/>
        <v>LimousinPommierPommier</v>
      </c>
      <c r="P181" s="240" t="s">
        <v>23</v>
      </c>
      <c r="Q181" s="241" t="s">
        <v>161</v>
      </c>
      <c r="R181" s="241" t="s">
        <v>161</v>
      </c>
      <c r="S181" s="220"/>
      <c r="T181" s="220"/>
      <c r="U181" s="220"/>
      <c r="V181" s="223"/>
    </row>
    <row r="182" spans="2:22" ht="15" thickBot="1" x14ac:dyDescent="0.35">
      <c r="B182" t="str">
        <f t="shared" si="8"/>
        <v>LimousinPrunier</v>
      </c>
      <c r="C182" t="str">
        <f t="shared" si="9"/>
        <v>LimousinPrunierAutres</v>
      </c>
      <c r="E182" s="231" t="s">
        <v>23</v>
      </c>
      <c r="F182" s="232" t="s">
        <v>162</v>
      </c>
      <c r="G182" s="232" t="s">
        <v>170</v>
      </c>
      <c r="H182" s="222">
        <v>0.01</v>
      </c>
      <c r="I182" s="222">
        <v>0.33</v>
      </c>
      <c r="J182" s="222">
        <v>5.14</v>
      </c>
      <c r="K182" s="224">
        <v>9.34</v>
      </c>
      <c r="L182" s="196"/>
      <c r="M182" s="289" t="str">
        <f t="shared" si="10"/>
        <v>LimousinPrunier</v>
      </c>
      <c r="N182" s="289" t="str">
        <f t="shared" si="11"/>
        <v>LimousinPrunierAutres</v>
      </c>
      <c r="P182" s="242" t="s">
        <v>23</v>
      </c>
      <c r="Q182" s="243" t="s">
        <v>162</v>
      </c>
      <c r="R182" s="243" t="s">
        <v>170</v>
      </c>
      <c r="S182" s="222"/>
      <c r="T182" s="222"/>
      <c r="U182" s="222"/>
      <c r="V182" s="224"/>
    </row>
    <row r="183" spans="2:22" ht="15" thickTop="1" x14ac:dyDescent="0.3">
      <c r="B183" t="str">
        <f t="shared" si="8"/>
        <v>LorraineAbricotier</v>
      </c>
      <c r="C183" t="str">
        <f t="shared" si="9"/>
        <v>LorraineAbricotierAbricotier</v>
      </c>
      <c r="E183" s="230" t="s">
        <v>24</v>
      </c>
      <c r="F183" s="135" t="s">
        <v>127</v>
      </c>
      <c r="G183" s="135" t="s">
        <v>127</v>
      </c>
      <c r="H183" s="220">
        <v>0.01</v>
      </c>
      <c r="I183" s="220">
        <v>0.62</v>
      </c>
      <c r="J183" s="220">
        <v>5.1100000000000003</v>
      </c>
      <c r="K183" s="223">
        <v>10.66</v>
      </c>
      <c r="L183" s="196"/>
      <c r="M183" s="289" t="str">
        <f t="shared" si="10"/>
        <v>LorraineAbricotier</v>
      </c>
      <c r="N183" s="289" t="str">
        <f t="shared" si="11"/>
        <v>LorraineAbricotierAbricotier</v>
      </c>
      <c r="P183" s="240" t="s">
        <v>24</v>
      </c>
      <c r="Q183" s="241" t="s">
        <v>127</v>
      </c>
      <c r="R183" s="241" t="s">
        <v>127</v>
      </c>
      <c r="S183" s="220"/>
      <c r="T183" s="220"/>
      <c r="U183" s="220"/>
      <c r="V183" s="223"/>
    </row>
    <row r="184" spans="2:22" x14ac:dyDescent="0.3">
      <c r="B184" t="str">
        <f t="shared" si="8"/>
        <v>LorraineAgrumes</v>
      </c>
      <c r="C184" t="str">
        <f t="shared" si="9"/>
        <v>LorraineAgrumesClémentinier</v>
      </c>
      <c r="E184" s="230" t="s">
        <v>24</v>
      </c>
      <c r="F184" s="135" t="s">
        <v>634</v>
      </c>
      <c r="G184" s="135" t="s">
        <v>135</v>
      </c>
      <c r="H184" s="220">
        <v>0</v>
      </c>
      <c r="I184" s="220">
        <v>0.3</v>
      </c>
      <c r="J184" s="220">
        <v>2</v>
      </c>
      <c r="K184" s="223">
        <v>5</v>
      </c>
      <c r="L184" s="196"/>
      <c r="M184" s="289" t="str">
        <f t="shared" si="10"/>
        <v>LorraineAgrumes</v>
      </c>
      <c r="N184" s="289" t="str">
        <f t="shared" si="11"/>
        <v>LorraineAgrumesClémentinier</v>
      </c>
      <c r="P184" s="240" t="s">
        <v>24</v>
      </c>
      <c r="Q184" s="241" t="s">
        <v>634</v>
      </c>
      <c r="R184" s="241" t="s">
        <v>135</v>
      </c>
      <c r="S184" s="220"/>
      <c r="T184" s="220"/>
      <c r="U184" s="220"/>
      <c r="V184" s="223"/>
    </row>
    <row r="185" spans="2:22" x14ac:dyDescent="0.3">
      <c r="B185" t="str">
        <f t="shared" si="8"/>
        <v>LorraineAutres</v>
      </c>
      <c r="C185" t="str">
        <f t="shared" si="9"/>
        <v>LorraineAutresPrunier</v>
      </c>
      <c r="E185" s="230" t="s">
        <v>24</v>
      </c>
      <c r="F185" s="135" t="s">
        <v>170</v>
      </c>
      <c r="G185" s="135" t="s">
        <v>162</v>
      </c>
      <c r="H185" s="220">
        <v>0</v>
      </c>
      <c r="I185" s="220">
        <v>0.59</v>
      </c>
      <c r="J185" s="220">
        <v>1.5</v>
      </c>
      <c r="K185" s="223">
        <v>9.0500000000000007</v>
      </c>
      <c r="L185" s="196"/>
      <c r="M185" s="289" t="str">
        <f t="shared" si="10"/>
        <v>LorraineAutres</v>
      </c>
      <c r="N185" s="289" t="str">
        <f t="shared" si="11"/>
        <v>LorraineAutresPrunier</v>
      </c>
      <c r="P185" s="240" t="s">
        <v>24</v>
      </c>
      <c r="Q185" s="241" t="s">
        <v>170</v>
      </c>
      <c r="R185" s="241" t="s">
        <v>162</v>
      </c>
      <c r="S185" s="220"/>
      <c r="T185" s="220"/>
      <c r="U185" s="220"/>
      <c r="V185" s="223"/>
    </row>
    <row r="186" spans="2:22" x14ac:dyDescent="0.3">
      <c r="B186" t="str">
        <f t="shared" si="8"/>
        <v>LorraineCerisier</v>
      </c>
      <c r="C186" t="str">
        <f t="shared" si="9"/>
        <v>LorraineCerisierCerisier</v>
      </c>
      <c r="E186" s="230" t="s">
        <v>24</v>
      </c>
      <c r="F186" s="135" t="s">
        <v>132</v>
      </c>
      <c r="G186" s="135" t="s">
        <v>132</v>
      </c>
      <c r="H186" s="220">
        <v>0.12</v>
      </c>
      <c r="I186" s="220">
        <v>0.81</v>
      </c>
      <c r="J186" s="220">
        <v>3.02</v>
      </c>
      <c r="K186" s="223">
        <v>6.1</v>
      </c>
      <c r="L186" s="196"/>
      <c r="M186" s="289" t="str">
        <f t="shared" si="10"/>
        <v>LorraineCerisier</v>
      </c>
      <c r="N186" s="289" t="str">
        <f t="shared" si="11"/>
        <v>LorraineCerisierCerisier</v>
      </c>
      <c r="P186" s="240" t="s">
        <v>24</v>
      </c>
      <c r="Q186" s="241" t="s">
        <v>132</v>
      </c>
      <c r="R186" s="241" t="s">
        <v>132</v>
      </c>
      <c r="S186" s="220"/>
      <c r="T186" s="220"/>
      <c r="U186" s="220"/>
      <c r="V186" s="223"/>
    </row>
    <row r="187" spans="2:22" x14ac:dyDescent="0.3">
      <c r="B187" t="str">
        <f t="shared" si="8"/>
        <v>LorraineMirabellier</v>
      </c>
      <c r="C187" t="str">
        <f t="shared" si="9"/>
        <v>LorraineMirabellierAutres</v>
      </c>
      <c r="E187" s="230" t="s">
        <v>24</v>
      </c>
      <c r="F187" s="135" t="s">
        <v>145</v>
      </c>
      <c r="G187" s="135" t="s">
        <v>170</v>
      </c>
      <c r="H187" s="220">
        <v>0</v>
      </c>
      <c r="I187" s="220">
        <v>0.59</v>
      </c>
      <c r="J187" s="220">
        <v>1.5</v>
      </c>
      <c r="K187" s="223">
        <v>9.0500000000000007</v>
      </c>
      <c r="L187" s="196"/>
      <c r="M187" s="289" t="str">
        <f t="shared" si="10"/>
        <v>LorraineMirabellier</v>
      </c>
      <c r="N187" s="289" t="str">
        <f t="shared" si="11"/>
        <v>LorraineMirabellierAutres</v>
      </c>
      <c r="P187" s="240" t="s">
        <v>24</v>
      </c>
      <c r="Q187" s="241" t="s">
        <v>145</v>
      </c>
      <c r="R187" s="241" t="s">
        <v>170</v>
      </c>
      <c r="S187" s="220"/>
      <c r="T187" s="220"/>
      <c r="U187" s="220"/>
      <c r="V187" s="223"/>
    </row>
    <row r="188" spans="2:22" x14ac:dyDescent="0.3">
      <c r="B188" t="str">
        <f t="shared" si="8"/>
        <v>LorraineNectarinier</v>
      </c>
      <c r="C188" t="str">
        <f t="shared" si="9"/>
        <v>LorraineNectarinierNectarinier-Pêcher</v>
      </c>
      <c r="E188" s="230" t="s">
        <v>24</v>
      </c>
      <c r="F188" s="135" t="s">
        <v>151</v>
      </c>
      <c r="G188" s="135" t="s">
        <v>635</v>
      </c>
      <c r="H188" s="220">
        <v>0.03</v>
      </c>
      <c r="I188" s="220">
        <v>0.84</v>
      </c>
      <c r="J188" s="220">
        <v>9.25</v>
      </c>
      <c r="K188" s="223">
        <v>19.38</v>
      </c>
      <c r="L188" s="196"/>
      <c r="M188" s="289" t="str">
        <f t="shared" si="10"/>
        <v>LorraineNectarinier</v>
      </c>
      <c r="N188" s="289" t="str">
        <f t="shared" si="11"/>
        <v>LorraineNectarinierNectarinier-Pêcher</v>
      </c>
      <c r="P188" s="240" t="s">
        <v>24</v>
      </c>
      <c r="Q188" s="241" t="s">
        <v>151</v>
      </c>
      <c r="R188" s="241" t="s">
        <v>635</v>
      </c>
      <c r="S188" s="220"/>
      <c r="T188" s="220"/>
      <c r="U188" s="220"/>
      <c r="V188" s="223"/>
    </row>
    <row r="189" spans="2:22" x14ac:dyDescent="0.3">
      <c r="B189" t="str">
        <f t="shared" si="8"/>
        <v>LorraineNoyer</v>
      </c>
      <c r="C189" t="str">
        <f t="shared" si="9"/>
        <v>LorraineNoyerAutres</v>
      </c>
      <c r="E189" s="230" t="s">
        <v>24</v>
      </c>
      <c r="F189" s="135" t="s">
        <v>154</v>
      </c>
      <c r="G189" s="135" t="s">
        <v>170</v>
      </c>
      <c r="H189" s="220">
        <v>0</v>
      </c>
      <c r="I189" s="220">
        <v>0.59</v>
      </c>
      <c r="J189" s="220">
        <v>1.5</v>
      </c>
      <c r="K189" s="223">
        <v>9.0500000000000007</v>
      </c>
      <c r="L189" s="196"/>
      <c r="M189" s="289" t="str">
        <f t="shared" si="10"/>
        <v>LorraineNoyer</v>
      </c>
      <c r="N189" s="289" t="str">
        <f t="shared" si="11"/>
        <v>LorraineNoyerAutres</v>
      </c>
      <c r="P189" s="240" t="s">
        <v>24</v>
      </c>
      <c r="Q189" s="241" t="s">
        <v>154</v>
      </c>
      <c r="R189" s="241" t="s">
        <v>170</v>
      </c>
      <c r="S189" s="220"/>
      <c r="T189" s="220"/>
      <c r="U189" s="220"/>
      <c r="V189" s="223"/>
    </row>
    <row r="190" spans="2:22" x14ac:dyDescent="0.3">
      <c r="B190" t="str">
        <f t="shared" si="8"/>
        <v>LorrainePêcher</v>
      </c>
      <c r="C190" t="str">
        <f t="shared" si="9"/>
        <v>LorrainePêcherNectarinier-Pêcher</v>
      </c>
      <c r="E190" s="230" t="s">
        <v>24</v>
      </c>
      <c r="F190" s="135" t="s">
        <v>158</v>
      </c>
      <c r="G190" s="135" t="s">
        <v>635</v>
      </c>
      <c r="H190" s="220">
        <v>0.03</v>
      </c>
      <c r="I190" s="220">
        <v>0.84</v>
      </c>
      <c r="J190" s="220">
        <v>9.25</v>
      </c>
      <c r="K190" s="223">
        <v>19.38</v>
      </c>
      <c r="L190" s="196"/>
      <c r="M190" s="289" t="str">
        <f t="shared" si="10"/>
        <v>LorrainePêcher</v>
      </c>
      <c r="N190" s="289" t="str">
        <f t="shared" si="11"/>
        <v>LorrainePêcherNectarinier-Pêcher</v>
      </c>
      <c r="P190" s="240" t="s">
        <v>24</v>
      </c>
      <c r="Q190" s="241" t="s">
        <v>158</v>
      </c>
      <c r="R190" s="241" t="s">
        <v>635</v>
      </c>
      <c r="S190" s="220"/>
      <c r="T190" s="220"/>
      <c r="U190" s="220"/>
      <c r="V190" s="223"/>
    </row>
    <row r="191" spans="2:22" x14ac:dyDescent="0.3">
      <c r="B191" t="str">
        <f t="shared" si="8"/>
        <v>LorrainePoirier</v>
      </c>
      <c r="C191" t="str">
        <f t="shared" si="9"/>
        <v>LorrainePoirierAutres</v>
      </c>
      <c r="E191" s="230" t="s">
        <v>24</v>
      </c>
      <c r="F191" s="135" t="s">
        <v>159</v>
      </c>
      <c r="G191" s="135" t="s">
        <v>170</v>
      </c>
      <c r="H191" s="220">
        <v>0</v>
      </c>
      <c r="I191" s="220">
        <v>0.59</v>
      </c>
      <c r="J191" s="220">
        <v>1.5</v>
      </c>
      <c r="K191" s="223">
        <v>9.0500000000000007</v>
      </c>
      <c r="L191" s="196"/>
      <c r="M191" s="289" t="str">
        <f t="shared" si="10"/>
        <v>LorrainePoirier</v>
      </c>
      <c r="N191" s="289" t="str">
        <f t="shared" si="11"/>
        <v>LorrainePoirierAutres</v>
      </c>
      <c r="P191" s="240" t="s">
        <v>24</v>
      </c>
      <c r="Q191" s="241" t="s">
        <v>159</v>
      </c>
      <c r="R191" s="241" t="s">
        <v>170</v>
      </c>
      <c r="S191" s="220"/>
      <c r="T191" s="220"/>
      <c r="U191" s="220"/>
      <c r="V191" s="223"/>
    </row>
    <row r="192" spans="2:22" x14ac:dyDescent="0.3">
      <c r="B192" t="str">
        <f t="shared" si="8"/>
        <v>LorrainePommier</v>
      </c>
      <c r="C192" t="str">
        <f t="shared" si="9"/>
        <v>LorrainePommierPommier</v>
      </c>
      <c r="E192" s="230" t="s">
        <v>24</v>
      </c>
      <c r="F192" s="135" t="s">
        <v>161</v>
      </c>
      <c r="G192" s="135" t="s">
        <v>161</v>
      </c>
      <c r="H192" s="220">
        <v>0.06</v>
      </c>
      <c r="I192" s="220">
        <v>0.87</v>
      </c>
      <c r="J192" s="220">
        <v>2.38</v>
      </c>
      <c r="K192" s="223">
        <v>20.88</v>
      </c>
      <c r="L192" s="196"/>
      <c r="M192" s="289" t="str">
        <f t="shared" si="10"/>
        <v>LorrainePommier</v>
      </c>
      <c r="N192" s="289" t="str">
        <f t="shared" si="11"/>
        <v>LorrainePommierPommier</v>
      </c>
      <c r="P192" s="240" t="s">
        <v>24</v>
      </c>
      <c r="Q192" s="241" t="s">
        <v>161</v>
      </c>
      <c r="R192" s="241" t="s">
        <v>161</v>
      </c>
      <c r="S192" s="220"/>
      <c r="T192" s="220"/>
      <c r="U192" s="220"/>
      <c r="V192" s="223"/>
    </row>
    <row r="193" spans="2:22" ht="15" thickBot="1" x14ac:dyDescent="0.35">
      <c r="B193" t="str">
        <f t="shared" si="8"/>
        <v>LorrainePrunier</v>
      </c>
      <c r="C193" t="str">
        <f t="shared" si="9"/>
        <v>LorrainePrunierPrunier</v>
      </c>
      <c r="E193" s="231" t="s">
        <v>24</v>
      </c>
      <c r="F193" s="232" t="s">
        <v>162</v>
      </c>
      <c r="G193" s="232" t="s">
        <v>162</v>
      </c>
      <c r="H193" s="222">
        <v>0</v>
      </c>
      <c r="I193" s="222">
        <v>0.59</v>
      </c>
      <c r="J193" s="222">
        <v>1.5</v>
      </c>
      <c r="K193" s="224">
        <v>9.0500000000000007</v>
      </c>
      <c r="L193" s="196"/>
      <c r="M193" s="289" t="str">
        <f t="shared" si="10"/>
        <v>LorrainePrunier</v>
      </c>
      <c r="N193" s="289" t="str">
        <f t="shared" si="11"/>
        <v>LorrainePrunierPrunier</v>
      </c>
      <c r="P193" s="242" t="s">
        <v>24</v>
      </c>
      <c r="Q193" s="243" t="s">
        <v>162</v>
      </c>
      <c r="R193" s="243" t="s">
        <v>162</v>
      </c>
      <c r="S193" s="222"/>
      <c r="T193" s="222"/>
      <c r="U193" s="222"/>
      <c r="V193" s="224"/>
    </row>
    <row r="194" spans="2:22" ht="15" thickTop="1" x14ac:dyDescent="0.3">
      <c r="B194" t="str">
        <f t="shared" si="8"/>
        <v>MartiniqueAbricotier</v>
      </c>
      <c r="C194" t="str">
        <f t="shared" si="9"/>
        <v>MartiniqueAbricotierBananier</v>
      </c>
      <c r="E194" s="230" t="s">
        <v>286</v>
      </c>
      <c r="F194" s="135" t="s">
        <v>127</v>
      </c>
      <c r="G194" s="135" t="s">
        <v>171</v>
      </c>
      <c r="H194" s="220">
        <v>0.68</v>
      </c>
      <c r="I194" s="220">
        <v>2.21</v>
      </c>
      <c r="J194" s="220">
        <v>2.67</v>
      </c>
      <c r="K194" s="223">
        <v>6.78</v>
      </c>
      <c r="L194" s="196"/>
      <c r="M194" s="289" t="str">
        <f t="shared" si="10"/>
        <v>MartiniqueAbricotier</v>
      </c>
      <c r="N194" s="289" t="str">
        <f t="shared" si="11"/>
        <v>MartiniqueAbricotierBananier</v>
      </c>
      <c r="P194" s="240" t="s">
        <v>286</v>
      </c>
      <c r="Q194" s="241" t="s">
        <v>127</v>
      </c>
      <c r="R194" s="241" t="s">
        <v>171</v>
      </c>
      <c r="S194" s="220"/>
      <c r="T194" s="220"/>
      <c r="U194" s="220"/>
      <c r="V194" s="223"/>
    </row>
    <row r="195" spans="2:22" x14ac:dyDescent="0.3">
      <c r="B195" t="str">
        <f t="shared" si="8"/>
        <v>MartiniqueAgrumes</v>
      </c>
      <c r="C195" t="str">
        <f t="shared" si="9"/>
        <v>MartiniqueAgrumesBananier</v>
      </c>
      <c r="E195" s="230" t="s">
        <v>286</v>
      </c>
      <c r="F195" s="135" t="s">
        <v>634</v>
      </c>
      <c r="G195" s="135" t="s">
        <v>171</v>
      </c>
      <c r="H195" s="220">
        <v>0.68</v>
      </c>
      <c r="I195" s="220">
        <v>2.21</v>
      </c>
      <c r="J195" s="220">
        <v>2.67</v>
      </c>
      <c r="K195" s="223">
        <v>6.78</v>
      </c>
      <c r="L195" s="196"/>
      <c r="M195" s="289" t="str">
        <f t="shared" si="10"/>
        <v>MartiniqueAgrumes</v>
      </c>
      <c r="N195" s="289" t="str">
        <f t="shared" si="11"/>
        <v>MartiniqueAgrumesBananier</v>
      </c>
      <c r="P195" s="240" t="s">
        <v>286</v>
      </c>
      <c r="Q195" s="241" t="s">
        <v>634</v>
      </c>
      <c r="R195" s="241" t="s">
        <v>171</v>
      </c>
      <c r="S195" s="220"/>
      <c r="T195" s="220"/>
      <c r="U195" s="220"/>
      <c r="V195" s="223"/>
    </row>
    <row r="196" spans="2:22" x14ac:dyDescent="0.3">
      <c r="B196" t="str">
        <f t="shared" si="8"/>
        <v>MartiniqueAutres</v>
      </c>
      <c r="C196" t="str">
        <f t="shared" si="9"/>
        <v>MartiniqueAutresBananier</v>
      </c>
      <c r="E196" s="230" t="s">
        <v>286</v>
      </c>
      <c r="F196" s="135" t="s">
        <v>170</v>
      </c>
      <c r="G196" s="135" t="s">
        <v>171</v>
      </c>
      <c r="H196" s="220">
        <v>0.68</v>
      </c>
      <c r="I196" s="220">
        <v>2.21</v>
      </c>
      <c r="J196" s="220">
        <v>2.67</v>
      </c>
      <c r="K196" s="223">
        <v>6.78</v>
      </c>
      <c r="L196" s="196"/>
      <c r="M196" s="289" t="str">
        <f t="shared" si="10"/>
        <v>MartiniqueAutres</v>
      </c>
      <c r="N196" s="289" t="str">
        <f t="shared" si="11"/>
        <v>MartiniqueAutresBananier</v>
      </c>
      <c r="P196" s="240" t="s">
        <v>286</v>
      </c>
      <c r="Q196" s="241" t="s">
        <v>170</v>
      </c>
      <c r="R196" s="241" t="s">
        <v>171</v>
      </c>
      <c r="S196" s="220"/>
      <c r="T196" s="220"/>
      <c r="U196" s="220"/>
      <c r="V196" s="223"/>
    </row>
    <row r="197" spans="2:22" x14ac:dyDescent="0.3">
      <c r="B197" t="str">
        <f t="shared" si="8"/>
        <v>MartiniqueBananier</v>
      </c>
      <c r="C197" t="str">
        <f t="shared" si="9"/>
        <v>MartiniqueBananierBananier</v>
      </c>
      <c r="E197" s="230" t="s">
        <v>286</v>
      </c>
      <c r="F197" s="135" t="s">
        <v>171</v>
      </c>
      <c r="G197" s="135" t="s">
        <v>171</v>
      </c>
      <c r="H197" s="220">
        <v>0.68</v>
      </c>
      <c r="I197" s="220">
        <v>2.21</v>
      </c>
      <c r="J197" s="220">
        <v>2.67</v>
      </c>
      <c r="K197" s="223">
        <v>6.78</v>
      </c>
      <c r="L197" s="196"/>
      <c r="M197" s="289" t="str">
        <f t="shared" si="10"/>
        <v>MartiniqueBananier</v>
      </c>
      <c r="N197" s="289" t="str">
        <f t="shared" si="11"/>
        <v>MartiniqueBananierBananier</v>
      </c>
      <c r="P197" s="240" t="s">
        <v>286</v>
      </c>
      <c r="Q197" s="241" t="s">
        <v>171</v>
      </c>
      <c r="R197" s="241" t="s">
        <v>171</v>
      </c>
      <c r="S197" s="220"/>
      <c r="T197" s="220"/>
      <c r="U197" s="220"/>
      <c r="V197" s="223"/>
    </row>
    <row r="198" spans="2:22" x14ac:dyDescent="0.3">
      <c r="B198" t="str">
        <f t="shared" ref="B198:B261" si="12">E198&amp;F198</f>
        <v>MartiniqueCerisier</v>
      </c>
      <c r="C198" t="str">
        <f t="shared" ref="C198:C261" si="13">E198&amp;F198&amp;G198</f>
        <v>MartiniqueCerisierBananier</v>
      </c>
      <c r="E198" s="230" t="s">
        <v>286</v>
      </c>
      <c r="F198" s="135" t="s">
        <v>132</v>
      </c>
      <c r="G198" s="135" t="s">
        <v>171</v>
      </c>
      <c r="H198" s="220">
        <v>0.68</v>
      </c>
      <c r="I198" s="220">
        <v>2.21</v>
      </c>
      <c r="J198" s="220">
        <v>2.67</v>
      </c>
      <c r="K198" s="223">
        <v>6.78</v>
      </c>
      <c r="L198" s="196"/>
      <c r="M198" s="289" t="str">
        <f t="shared" ref="M198:M261" si="14">P198&amp;Q198</f>
        <v>MartiniqueCerisier</v>
      </c>
      <c r="N198" s="289" t="str">
        <f t="shared" ref="N198:N261" si="15">P198&amp;Q198&amp;R198</f>
        <v>MartiniqueCerisierBananier</v>
      </c>
      <c r="P198" s="240" t="s">
        <v>286</v>
      </c>
      <c r="Q198" s="241" t="s">
        <v>132</v>
      </c>
      <c r="R198" s="241" t="s">
        <v>171</v>
      </c>
      <c r="S198" s="220"/>
      <c r="T198" s="220"/>
      <c r="U198" s="220"/>
      <c r="V198" s="223"/>
    </row>
    <row r="199" spans="2:22" x14ac:dyDescent="0.3">
      <c r="B199" t="str">
        <f t="shared" si="12"/>
        <v>MartiniqueMirabellier</v>
      </c>
      <c r="C199" t="str">
        <f t="shared" si="13"/>
        <v>MartiniqueMirabellierBananier</v>
      </c>
      <c r="E199" s="230" t="s">
        <v>286</v>
      </c>
      <c r="F199" s="135" t="s">
        <v>145</v>
      </c>
      <c r="G199" s="135" t="s">
        <v>171</v>
      </c>
      <c r="H199" s="220">
        <v>0.68</v>
      </c>
      <c r="I199" s="220">
        <v>2.21</v>
      </c>
      <c r="J199" s="220">
        <v>2.67</v>
      </c>
      <c r="K199" s="223">
        <v>6.78</v>
      </c>
      <c r="L199" s="196"/>
      <c r="M199" s="289" t="str">
        <f t="shared" si="14"/>
        <v>MartiniqueMirabellier</v>
      </c>
      <c r="N199" s="289" t="str">
        <f t="shared" si="15"/>
        <v>MartiniqueMirabellierBananier</v>
      </c>
      <c r="P199" s="240" t="s">
        <v>286</v>
      </c>
      <c r="Q199" s="241" t="s">
        <v>145</v>
      </c>
      <c r="R199" s="241" t="s">
        <v>171</v>
      </c>
      <c r="S199" s="220"/>
      <c r="T199" s="220"/>
      <c r="U199" s="220"/>
      <c r="V199" s="223"/>
    </row>
    <row r="200" spans="2:22" x14ac:dyDescent="0.3">
      <c r="B200" t="str">
        <f t="shared" si="12"/>
        <v>MartiniqueNectarinier</v>
      </c>
      <c r="C200" t="str">
        <f t="shared" si="13"/>
        <v>MartiniqueNectarinierBananier</v>
      </c>
      <c r="E200" s="230" t="s">
        <v>286</v>
      </c>
      <c r="F200" s="135" t="s">
        <v>151</v>
      </c>
      <c r="G200" s="135" t="s">
        <v>171</v>
      </c>
      <c r="H200" s="220">
        <v>0.68</v>
      </c>
      <c r="I200" s="220">
        <v>2.21</v>
      </c>
      <c r="J200" s="220">
        <v>2.67</v>
      </c>
      <c r="K200" s="223">
        <v>6.78</v>
      </c>
      <c r="L200" s="196"/>
      <c r="M200" s="289" t="str">
        <f t="shared" si="14"/>
        <v>MartiniqueNectarinier</v>
      </c>
      <c r="N200" s="289" t="str">
        <f t="shared" si="15"/>
        <v>MartiniqueNectarinierBananier</v>
      </c>
      <c r="P200" s="240" t="s">
        <v>286</v>
      </c>
      <c r="Q200" s="241" t="s">
        <v>151</v>
      </c>
      <c r="R200" s="241" t="s">
        <v>171</v>
      </c>
      <c r="S200" s="220"/>
      <c r="T200" s="220"/>
      <c r="U200" s="220"/>
      <c r="V200" s="223"/>
    </row>
    <row r="201" spans="2:22" x14ac:dyDescent="0.3">
      <c r="B201" t="str">
        <f t="shared" si="12"/>
        <v>MartiniqueNoyer</v>
      </c>
      <c r="C201" t="str">
        <f t="shared" si="13"/>
        <v>MartiniqueNoyerBananier</v>
      </c>
      <c r="E201" s="230" t="s">
        <v>286</v>
      </c>
      <c r="F201" s="135" t="s">
        <v>154</v>
      </c>
      <c r="G201" s="135" t="s">
        <v>171</v>
      </c>
      <c r="H201" s="220">
        <v>0.68</v>
      </c>
      <c r="I201" s="220">
        <v>2.21</v>
      </c>
      <c r="J201" s="220">
        <v>2.67</v>
      </c>
      <c r="K201" s="223">
        <v>6.78</v>
      </c>
      <c r="L201" s="196"/>
      <c r="M201" s="289" t="str">
        <f t="shared" si="14"/>
        <v>MartiniqueNoyer</v>
      </c>
      <c r="N201" s="289" t="str">
        <f t="shared" si="15"/>
        <v>MartiniqueNoyerBananier</v>
      </c>
      <c r="P201" s="240" t="s">
        <v>286</v>
      </c>
      <c r="Q201" s="241" t="s">
        <v>154</v>
      </c>
      <c r="R201" s="241" t="s">
        <v>171</v>
      </c>
      <c r="S201" s="220"/>
      <c r="T201" s="220"/>
      <c r="U201" s="220"/>
      <c r="V201" s="223"/>
    </row>
    <row r="202" spans="2:22" x14ac:dyDescent="0.3">
      <c r="B202" t="str">
        <f t="shared" si="12"/>
        <v>MartiniquePêcher</v>
      </c>
      <c r="C202" t="str">
        <f t="shared" si="13"/>
        <v>MartiniquePêcherBananier</v>
      </c>
      <c r="E202" s="230" t="s">
        <v>286</v>
      </c>
      <c r="F202" s="135" t="s">
        <v>158</v>
      </c>
      <c r="G202" s="135" t="s">
        <v>171</v>
      </c>
      <c r="H202" s="220">
        <v>0.68</v>
      </c>
      <c r="I202" s="220">
        <v>2.21</v>
      </c>
      <c r="J202" s="220">
        <v>2.67</v>
      </c>
      <c r="K202" s="223">
        <v>6.78</v>
      </c>
      <c r="L202" s="196"/>
      <c r="M202" s="289" t="str">
        <f t="shared" si="14"/>
        <v>MartiniquePêcher</v>
      </c>
      <c r="N202" s="289" t="str">
        <f t="shared" si="15"/>
        <v>MartiniquePêcherBananier</v>
      </c>
      <c r="P202" s="240" t="s">
        <v>286</v>
      </c>
      <c r="Q202" s="241" t="s">
        <v>158</v>
      </c>
      <c r="R202" s="241" t="s">
        <v>171</v>
      </c>
      <c r="S202" s="220"/>
      <c r="T202" s="220"/>
      <c r="U202" s="220"/>
      <c r="V202" s="223"/>
    </row>
    <row r="203" spans="2:22" x14ac:dyDescent="0.3">
      <c r="B203" t="str">
        <f t="shared" si="12"/>
        <v>MartiniquePoirier</v>
      </c>
      <c r="C203" t="str">
        <f t="shared" si="13"/>
        <v>MartiniquePoirierBananier</v>
      </c>
      <c r="E203" s="230" t="s">
        <v>286</v>
      </c>
      <c r="F203" s="135" t="s">
        <v>159</v>
      </c>
      <c r="G203" s="135" t="s">
        <v>171</v>
      </c>
      <c r="H203" s="220">
        <v>0.68</v>
      </c>
      <c r="I203" s="220">
        <v>2.21</v>
      </c>
      <c r="J203" s="220">
        <v>2.67</v>
      </c>
      <c r="K203" s="223">
        <v>6.78</v>
      </c>
      <c r="L203" s="196"/>
      <c r="M203" s="289" t="str">
        <f t="shared" si="14"/>
        <v>MartiniquePoirier</v>
      </c>
      <c r="N203" s="289" t="str">
        <f t="shared" si="15"/>
        <v>MartiniquePoirierBananier</v>
      </c>
      <c r="P203" s="240" t="s">
        <v>286</v>
      </c>
      <c r="Q203" s="241" t="s">
        <v>159</v>
      </c>
      <c r="R203" s="241" t="s">
        <v>171</v>
      </c>
      <c r="S203" s="220"/>
      <c r="T203" s="220"/>
      <c r="U203" s="220"/>
      <c r="V203" s="223"/>
    </row>
    <row r="204" spans="2:22" x14ac:dyDescent="0.3">
      <c r="B204" t="str">
        <f t="shared" si="12"/>
        <v>MartiniquePommier</v>
      </c>
      <c r="C204" t="str">
        <f t="shared" si="13"/>
        <v>MartiniquePommierBananier</v>
      </c>
      <c r="E204" s="230" t="s">
        <v>286</v>
      </c>
      <c r="F204" s="135" t="s">
        <v>161</v>
      </c>
      <c r="G204" s="135" t="s">
        <v>171</v>
      </c>
      <c r="H204" s="220">
        <v>0.68</v>
      </c>
      <c r="I204" s="220">
        <v>2.21</v>
      </c>
      <c r="J204" s="220">
        <v>2.67</v>
      </c>
      <c r="K204" s="223">
        <v>6.78</v>
      </c>
      <c r="L204" s="196"/>
      <c r="M204" s="289" t="str">
        <f t="shared" si="14"/>
        <v>MartiniquePommier</v>
      </c>
      <c r="N204" s="289" t="str">
        <f t="shared" si="15"/>
        <v>MartiniquePommierBananier</v>
      </c>
      <c r="P204" s="240" t="s">
        <v>286</v>
      </c>
      <c r="Q204" s="241" t="s">
        <v>161</v>
      </c>
      <c r="R204" s="241" t="s">
        <v>171</v>
      </c>
      <c r="S204" s="220"/>
      <c r="T204" s="220"/>
      <c r="U204" s="220"/>
      <c r="V204" s="223"/>
    </row>
    <row r="205" spans="2:22" ht="15" thickBot="1" x14ac:dyDescent="0.35">
      <c r="B205" t="str">
        <f t="shared" si="12"/>
        <v>MartiniquePrunier</v>
      </c>
      <c r="C205" t="str">
        <f t="shared" si="13"/>
        <v>MartiniquePrunierBananier</v>
      </c>
      <c r="E205" s="231" t="s">
        <v>286</v>
      </c>
      <c r="F205" s="232" t="s">
        <v>162</v>
      </c>
      <c r="G205" s="232" t="s">
        <v>171</v>
      </c>
      <c r="H205" s="222">
        <v>0.68</v>
      </c>
      <c r="I205" s="222">
        <v>2.21</v>
      </c>
      <c r="J205" s="222">
        <v>2.67</v>
      </c>
      <c r="K205" s="224">
        <v>6.78</v>
      </c>
      <c r="L205" s="196"/>
      <c r="M205" s="289" t="str">
        <f t="shared" si="14"/>
        <v>MartiniquePrunier</v>
      </c>
      <c r="N205" s="289" t="str">
        <f t="shared" si="15"/>
        <v>MartiniquePrunierBananier</v>
      </c>
      <c r="P205" s="242" t="s">
        <v>286</v>
      </c>
      <c r="Q205" s="243" t="s">
        <v>162</v>
      </c>
      <c r="R205" s="243" t="s">
        <v>171</v>
      </c>
      <c r="S205" s="222"/>
      <c r="T205" s="222"/>
      <c r="U205" s="222"/>
      <c r="V205" s="224"/>
    </row>
    <row r="206" spans="2:22" ht="15" thickTop="1" x14ac:dyDescent="0.3">
      <c r="B206" t="str">
        <f t="shared" si="12"/>
        <v>Midi-PyrénéesAbricotier</v>
      </c>
      <c r="C206" t="str">
        <f t="shared" si="13"/>
        <v>Midi-PyrénéesAbricotierAbricotier</v>
      </c>
      <c r="E206" s="230" t="s">
        <v>25</v>
      </c>
      <c r="F206" s="135" t="s">
        <v>127</v>
      </c>
      <c r="G206" s="135" t="s">
        <v>127</v>
      </c>
      <c r="H206" s="220">
        <v>0.01</v>
      </c>
      <c r="I206" s="220">
        <v>0.5</v>
      </c>
      <c r="J206" s="220">
        <v>5.18</v>
      </c>
      <c r="K206" s="223">
        <v>10.47</v>
      </c>
      <c r="L206" s="196"/>
      <c r="M206" s="289" t="str">
        <f t="shared" si="14"/>
        <v>Midi-PyrénéesAbricotier</v>
      </c>
      <c r="N206" s="289" t="str">
        <f t="shared" si="15"/>
        <v>Midi-PyrénéesAbricotierAbricotier</v>
      </c>
      <c r="P206" s="240" t="s">
        <v>25</v>
      </c>
      <c r="Q206" s="241" t="s">
        <v>127</v>
      </c>
      <c r="R206" s="241" t="s">
        <v>127</v>
      </c>
      <c r="S206" s="220"/>
      <c r="T206" s="220"/>
      <c r="U206" s="220"/>
      <c r="V206" s="223"/>
    </row>
    <row r="207" spans="2:22" x14ac:dyDescent="0.3">
      <c r="B207" t="str">
        <f t="shared" si="12"/>
        <v>Midi-PyrénéesAgrumes</v>
      </c>
      <c r="C207" t="str">
        <f t="shared" si="13"/>
        <v>Midi-PyrénéesAgrumesClémentinier</v>
      </c>
      <c r="E207" s="230" t="s">
        <v>25</v>
      </c>
      <c r="F207" s="135" t="s">
        <v>634</v>
      </c>
      <c r="G207" s="135" t="s">
        <v>135</v>
      </c>
      <c r="H207" s="220">
        <v>0</v>
      </c>
      <c r="I207" s="220">
        <v>0.3</v>
      </c>
      <c r="J207" s="220">
        <v>2</v>
      </c>
      <c r="K207" s="223">
        <v>5</v>
      </c>
      <c r="L207" s="196"/>
      <c r="M207" s="289" t="str">
        <f t="shared" si="14"/>
        <v>Midi-PyrénéesAgrumes</v>
      </c>
      <c r="N207" s="289" t="str">
        <f t="shared" si="15"/>
        <v>Midi-PyrénéesAgrumesClémentinier</v>
      </c>
      <c r="P207" s="240" t="s">
        <v>25</v>
      </c>
      <c r="Q207" s="241" t="s">
        <v>634</v>
      </c>
      <c r="R207" s="241" t="s">
        <v>135</v>
      </c>
      <c r="S207" s="220"/>
      <c r="T207" s="220"/>
      <c r="U207" s="220"/>
      <c r="V207" s="223"/>
    </row>
    <row r="208" spans="2:22" x14ac:dyDescent="0.3">
      <c r="B208" t="str">
        <f t="shared" si="12"/>
        <v>Midi-PyrénéesAutres</v>
      </c>
      <c r="C208" t="str">
        <f t="shared" si="13"/>
        <v>Midi-PyrénéesAutresPrunier</v>
      </c>
      <c r="E208" s="230" t="s">
        <v>25</v>
      </c>
      <c r="F208" s="135" t="s">
        <v>170</v>
      </c>
      <c r="G208" s="135" t="s">
        <v>162</v>
      </c>
      <c r="H208" s="220">
        <v>0.02</v>
      </c>
      <c r="I208" s="220">
        <v>0.38</v>
      </c>
      <c r="J208" s="220">
        <v>5.99</v>
      </c>
      <c r="K208" s="223">
        <v>10.46</v>
      </c>
      <c r="L208" s="196"/>
      <c r="M208" s="289" t="str">
        <f t="shared" si="14"/>
        <v>Midi-PyrénéesAutres</v>
      </c>
      <c r="N208" s="289" t="str">
        <f t="shared" si="15"/>
        <v>Midi-PyrénéesAutresPrunier</v>
      </c>
      <c r="P208" s="240" t="s">
        <v>25</v>
      </c>
      <c r="Q208" s="241" t="s">
        <v>170</v>
      </c>
      <c r="R208" s="241" t="s">
        <v>162</v>
      </c>
      <c r="S208" s="220"/>
      <c r="T208" s="220"/>
      <c r="U208" s="220"/>
      <c r="V208" s="223"/>
    </row>
    <row r="209" spans="2:22" x14ac:dyDescent="0.3">
      <c r="B209" t="str">
        <f t="shared" si="12"/>
        <v>Midi-PyrénéesCerisier</v>
      </c>
      <c r="C209" t="str">
        <f t="shared" si="13"/>
        <v>Midi-PyrénéesCerisierCerisier</v>
      </c>
      <c r="E209" s="230" t="s">
        <v>25</v>
      </c>
      <c r="F209" s="135" t="s">
        <v>132</v>
      </c>
      <c r="G209" s="135" t="s">
        <v>132</v>
      </c>
      <c r="H209" s="220">
        <v>0.03</v>
      </c>
      <c r="I209" s="220">
        <v>0.5</v>
      </c>
      <c r="J209" s="220">
        <v>6.03</v>
      </c>
      <c r="K209" s="223">
        <v>8.83</v>
      </c>
      <c r="L209" s="196"/>
      <c r="M209" s="289" t="str">
        <f t="shared" si="14"/>
        <v>Midi-PyrénéesCerisier</v>
      </c>
      <c r="N209" s="289" t="str">
        <f t="shared" si="15"/>
        <v>Midi-PyrénéesCerisierCerisier</v>
      </c>
      <c r="P209" s="240" t="s">
        <v>25</v>
      </c>
      <c r="Q209" s="241" t="s">
        <v>132</v>
      </c>
      <c r="R209" s="241" t="s">
        <v>132</v>
      </c>
      <c r="S209" s="220"/>
      <c r="T209" s="220"/>
      <c r="U209" s="220"/>
      <c r="V209" s="223"/>
    </row>
    <row r="210" spans="2:22" x14ac:dyDescent="0.3">
      <c r="B210" t="str">
        <f t="shared" si="12"/>
        <v>Midi-PyrénéesMirabellier</v>
      </c>
      <c r="C210" t="str">
        <f t="shared" si="13"/>
        <v>Midi-PyrénéesMirabellierAutres</v>
      </c>
      <c r="E210" s="230" t="s">
        <v>25</v>
      </c>
      <c r="F210" s="135" t="s">
        <v>145</v>
      </c>
      <c r="G210" s="135" t="s">
        <v>170</v>
      </c>
      <c r="H210" s="220">
        <v>0.02</v>
      </c>
      <c r="I210" s="220">
        <v>0.38</v>
      </c>
      <c r="J210" s="220">
        <v>5.99</v>
      </c>
      <c r="K210" s="223">
        <v>10.46</v>
      </c>
      <c r="L210" s="196"/>
      <c r="M210" s="289" t="str">
        <f t="shared" si="14"/>
        <v>Midi-PyrénéesMirabellier</v>
      </c>
      <c r="N210" s="289" t="str">
        <f t="shared" si="15"/>
        <v>Midi-PyrénéesMirabellierAutres</v>
      </c>
      <c r="P210" s="240" t="s">
        <v>25</v>
      </c>
      <c r="Q210" s="241" t="s">
        <v>145</v>
      </c>
      <c r="R210" s="241" t="s">
        <v>170</v>
      </c>
      <c r="S210" s="220"/>
      <c r="T210" s="220"/>
      <c r="U210" s="220"/>
      <c r="V210" s="223"/>
    </row>
    <row r="211" spans="2:22" x14ac:dyDescent="0.3">
      <c r="B211" t="str">
        <f t="shared" si="12"/>
        <v>Midi-PyrénéesNectarinier</v>
      </c>
      <c r="C211" t="str">
        <f t="shared" si="13"/>
        <v>Midi-PyrénéesNectarinierNectarinier-Pêcher</v>
      </c>
      <c r="E211" s="230" t="s">
        <v>25</v>
      </c>
      <c r="F211" s="135" t="s">
        <v>151</v>
      </c>
      <c r="G211" s="135" t="s">
        <v>635</v>
      </c>
      <c r="H211" s="220">
        <v>0.05</v>
      </c>
      <c r="I211" s="220">
        <v>0.45</v>
      </c>
      <c r="J211" s="220">
        <v>9.1999999999999993</v>
      </c>
      <c r="K211" s="223">
        <v>16.04</v>
      </c>
      <c r="L211" s="196"/>
      <c r="M211" s="289" t="str">
        <f t="shared" si="14"/>
        <v>Midi-PyrénéesNectarinier</v>
      </c>
      <c r="N211" s="289" t="str">
        <f t="shared" si="15"/>
        <v>Midi-PyrénéesNectarinierNectarinier-Pêcher</v>
      </c>
      <c r="P211" s="240" t="s">
        <v>25</v>
      </c>
      <c r="Q211" s="241" t="s">
        <v>151</v>
      </c>
      <c r="R211" s="241" t="s">
        <v>635</v>
      </c>
      <c r="S211" s="220"/>
      <c r="T211" s="220"/>
      <c r="U211" s="220"/>
      <c r="V211" s="223"/>
    </row>
    <row r="212" spans="2:22" x14ac:dyDescent="0.3">
      <c r="B212" t="str">
        <f t="shared" si="12"/>
        <v>Midi-PyrénéesNoyer</v>
      </c>
      <c r="C212" t="str">
        <f t="shared" si="13"/>
        <v>Midi-PyrénéesNoyerAutres</v>
      </c>
      <c r="E212" s="230" t="s">
        <v>25</v>
      </c>
      <c r="F212" s="135" t="s">
        <v>154</v>
      </c>
      <c r="G212" s="135" t="s">
        <v>170</v>
      </c>
      <c r="H212" s="220">
        <v>0.02</v>
      </c>
      <c r="I212" s="220">
        <v>0.38</v>
      </c>
      <c r="J212" s="220">
        <v>5.99</v>
      </c>
      <c r="K212" s="223">
        <v>10.46</v>
      </c>
      <c r="L212" s="196"/>
      <c r="M212" s="289" t="str">
        <f t="shared" si="14"/>
        <v>Midi-PyrénéesNoyer</v>
      </c>
      <c r="N212" s="289" t="str">
        <f t="shared" si="15"/>
        <v>Midi-PyrénéesNoyerAutres</v>
      </c>
      <c r="P212" s="240" t="s">
        <v>25</v>
      </c>
      <c r="Q212" s="241" t="s">
        <v>154</v>
      </c>
      <c r="R212" s="241" t="s">
        <v>170</v>
      </c>
      <c r="S212" s="220"/>
      <c r="T212" s="220"/>
      <c r="U212" s="220"/>
      <c r="V212" s="223"/>
    </row>
    <row r="213" spans="2:22" x14ac:dyDescent="0.3">
      <c r="B213" t="str">
        <f t="shared" si="12"/>
        <v>Midi-PyrénéesPêcher</v>
      </c>
      <c r="C213" t="str">
        <f t="shared" si="13"/>
        <v>Midi-PyrénéesPêcherNectarinier-Pêcher</v>
      </c>
      <c r="E213" s="230" t="s">
        <v>25</v>
      </c>
      <c r="F213" s="135" t="s">
        <v>158</v>
      </c>
      <c r="G213" s="135" t="s">
        <v>635</v>
      </c>
      <c r="H213" s="220">
        <v>0.05</v>
      </c>
      <c r="I213" s="220">
        <v>0.45</v>
      </c>
      <c r="J213" s="220">
        <v>9.1999999999999993</v>
      </c>
      <c r="K213" s="223">
        <v>16.04</v>
      </c>
      <c r="L213" s="196"/>
      <c r="M213" s="289" t="str">
        <f t="shared" si="14"/>
        <v>Midi-PyrénéesPêcher</v>
      </c>
      <c r="N213" s="289" t="str">
        <f t="shared" si="15"/>
        <v>Midi-PyrénéesPêcherNectarinier-Pêcher</v>
      </c>
      <c r="P213" s="240" t="s">
        <v>25</v>
      </c>
      <c r="Q213" s="241" t="s">
        <v>158</v>
      </c>
      <c r="R213" s="241" t="s">
        <v>635</v>
      </c>
      <c r="S213" s="220"/>
      <c r="T213" s="220"/>
      <c r="U213" s="220"/>
      <c r="V213" s="223"/>
    </row>
    <row r="214" spans="2:22" x14ac:dyDescent="0.3">
      <c r="B214" t="str">
        <f t="shared" si="12"/>
        <v>Midi-PyrénéesPoirier</v>
      </c>
      <c r="C214" t="str">
        <f t="shared" si="13"/>
        <v>Midi-PyrénéesPoirierAutres</v>
      </c>
      <c r="E214" s="230" t="s">
        <v>25</v>
      </c>
      <c r="F214" s="135" t="s">
        <v>159</v>
      </c>
      <c r="G214" s="135" t="s">
        <v>170</v>
      </c>
      <c r="H214" s="220">
        <v>0.02</v>
      </c>
      <c r="I214" s="220">
        <v>0.38</v>
      </c>
      <c r="J214" s="220">
        <v>5.99</v>
      </c>
      <c r="K214" s="223">
        <v>10.46</v>
      </c>
      <c r="L214" s="196"/>
      <c r="M214" s="289" t="str">
        <f t="shared" si="14"/>
        <v>Midi-PyrénéesPoirier</v>
      </c>
      <c r="N214" s="289" t="str">
        <f t="shared" si="15"/>
        <v>Midi-PyrénéesPoirierAutres</v>
      </c>
      <c r="P214" s="240" t="s">
        <v>25</v>
      </c>
      <c r="Q214" s="241" t="s">
        <v>159</v>
      </c>
      <c r="R214" s="241" t="s">
        <v>170</v>
      </c>
      <c r="S214" s="220"/>
      <c r="T214" s="220"/>
      <c r="U214" s="220"/>
      <c r="V214" s="223"/>
    </row>
    <row r="215" spans="2:22" x14ac:dyDescent="0.3">
      <c r="B215" t="str">
        <f t="shared" si="12"/>
        <v>Midi-PyrénéesPommier</v>
      </c>
      <c r="C215" t="str">
        <f t="shared" si="13"/>
        <v>Midi-PyrénéesPommierPommier</v>
      </c>
      <c r="E215" s="230" t="s">
        <v>25</v>
      </c>
      <c r="F215" s="135" t="s">
        <v>161</v>
      </c>
      <c r="G215" s="135" t="s">
        <v>161</v>
      </c>
      <c r="H215" s="220">
        <v>0.18</v>
      </c>
      <c r="I215" s="220">
        <v>1.08</v>
      </c>
      <c r="J215" s="220">
        <v>21.67</v>
      </c>
      <c r="K215" s="223">
        <v>35.19</v>
      </c>
      <c r="L215" s="196"/>
      <c r="M215" s="289" t="str">
        <f t="shared" si="14"/>
        <v>Midi-PyrénéesPommier</v>
      </c>
      <c r="N215" s="289" t="str">
        <f t="shared" si="15"/>
        <v>Midi-PyrénéesPommierPommier</v>
      </c>
      <c r="P215" s="240" t="s">
        <v>25</v>
      </c>
      <c r="Q215" s="241" t="s">
        <v>161</v>
      </c>
      <c r="R215" s="241" t="s">
        <v>161</v>
      </c>
      <c r="S215" s="220"/>
      <c r="T215" s="220"/>
      <c r="U215" s="220"/>
      <c r="V215" s="223"/>
    </row>
    <row r="216" spans="2:22" ht="15" thickBot="1" x14ac:dyDescent="0.35">
      <c r="B216" t="str">
        <f t="shared" si="12"/>
        <v>Midi-PyrénéesPrunier</v>
      </c>
      <c r="C216" t="str">
        <f t="shared" si="13"/>
        <v>Midi-PyrénéesPrunierPrunier</v>
      </c>
      <c r="E216" s="231" t="s">
        <v>25</v>
      </c>
      <c r="F216" s="232" t="s">
        <v>162</v>
      </c>
      <c r="G216" s="232" t="s">
        <v>162</v>
      </c>
      <c r="H216" s="222">
        <v>0.02</v>
      </c>
      <c r="I216" s="222">
        <v>0.38</v>
      </c>
      <c r="J216" s="222">
        <v>5.99</v>
      </c>
      <c r="K216" s="224">
        <v>10.46</v>
      </c>
      <c r="L216" s="196"/>
      <c r="M216" s="289" t="str">
        <f t="shared" si="14"/>
        <v>Midi-PyrénéesPrunier</v>
      </c>
      <c r="N216" s="289" t="str">
        <f t="shared" si="15"/>
        <v>Midi-PyrénéesPrunierPrunier</v>
      </c>
      <c r="P216" s="242" t="s">
        <v>25</v>
      </c>
      <c r="Q216" s="243" t="s">
        <v>162</v>
      </c>
      <c r="R216" s="243" t="s">
        <v>162</v>
      </c>
      <c r="S216" s="222"/>
      <c r="T216" s="222"/>
      <c r="U216" s="222"/>
      <c r="V216" s="224"/>
    </row>
    <row r="217" spans="2:22" ht="15" thickTop="1" x14ac:dyDescent="0.3">
      <c r="B217" t="str">
        <f t="shared" si="12"/>
        <v>Nord-Pas-de-CalaisAbricotier</v>
      </c>
      <c r="C217" t="str">
        <f t="shared" si="13"/>
        <v>Nord-Pas-de-CalaisAbricotierAbricotier</v>
      </c>
      <c r="E217" s="230" t="s">
        <v>26</v>
      </c>
      <c r="F217" s="135" t="s">
        <v>127</v>
      </c>
      <c r="G217" s="135" t="s">
        <v>127</v>
      </c>
      <c r="H217" s="220">
        <v>0.01</v>
      </c>
      <c r="I217" s="220">
        <v>0.62</v>
      </c>
      <c r="J217" s="220">
        <v>5.1100000000000003</v>
      </c>
      <c r="K217" s="223">
        <v>10.66</v>
      </c>
      <c r="L217" s="196"/>
      <c r="M217" s="289" t="str">
        <f t="shared" si="14"/>
        <v>Nord-Pas-de-CalaisAbricotier</v>
      </c>
      <c r="N217" s="289" t="str">
        <f t="shared" si="15"/>
        <v>Nord-Pas-de-CalaisAbricotierAbricotier</v>
      </c>
      <c r="P217" s="240" t="s">
        <v>26</v>
      </c>
      <c r="Q217" s="241" t="s">
        <v>127</v>
      </c>
      <c r="R217" s="241" t="s">
        <v>127</v>
      </c>
      <c r="S217" s="220"/>
      <c r="T217" s="220"/>
      <c r="U217" s="220"/>
      <c r="V217" s="223"/>
    </row>
    <row r="218" spans="2:22" x14ac:dyDescent="0.3">
      <c r="B218" t="str">
        <f t="shared" si="12"/>
        <v>Nord-Pas-de-CalaisAgrumes</v>
      </c>
      <c r="C218" t="str">
        <f t="shared" si="13"/>
        <v>Nord-Pas-de-CalaisAgrumesClémentinier</v>
      </c>
      <c r="E218" s="230" t="s">
        <v>26</v>
      </c>
      <c r="F218" s="135" t="s">
        <v>634</v>
      </c>
      <c r="G218" s="135" t="s">
        <v>135</v>
      </c>
      <c r="H218" s="220">
        <v>0</v>
      </c>
      <c r="I218" s="220">
        <v>0.3</v>
      </c>
      <c r="J218" s="220">
        <v>2</v>
      </c>
      <c r="K218" s="223">
        <v>5</v>
      </c>
      <c r="L218" s="196"/>
      <c r="M218" s="289" t="str">
        <f t="shared" si="14"/>
        <v>Nord-Pas-de-CalaisAgrumes</v>
      </c>
      <c r="N218" s="289" t="str">
        <f t="shared" si="15"/>
        <v>Nord-Pas-de-CalaisAgrumesClémentinier</v>
      </c>
      <c r="P218" s="240" t="s">
        <v>26</v>
      </c>
      <c r="Q218" s="241" t="s">
        <v>634</v>
      </c>
      <c r="R218" s="241" t="s">
        <v>135</v>
      </c>
      <c r="S218" s="220"/>
      <c r="T218" s="220"/>
      <c r="U218" s="220"/>
      <c r="V218" s="223"/>
    </row>
    <row r="219" spans="2:22" x14ac:dyDescent="0.3">
      <c r="B219" t="str">
        <f t="shared" si="12"/>
        <v>Nord-Pas-de-CalaisAutres</v>
      </c>
      <c r="C219" t="str">
        <f t="shared" si="13"/>
        <v>Nord-Pas-de-CalaisAutresPrunier</v>
      </c>
      <c r="E219" s="230" t="s">
        <v>26</v>
      </c>
      <c r="F219" s="135" t="s">
        <v>170</v>
      </c>
      <c r="G219" s="135" t="s">
        <v>162</v>
      </c>
      <c r="H219" s="220">
        <v>0.01</v>
      </c>
      <c r="I219" s="220">
        <v>0.33</v>
      </c>
      <c r="J219" s="220">
        <v>5.14</v>
      </c>
      <c r="K219" s="223">
        <v>9.34</v>
      </c>
      <c r="L219" s="196"/>
      <c r="M219" s="289" t="str">
        <f t="shared" si="14"/>
        <v>Nord-Pas-de-CalaisAutres</v>
      </c>
      <c r="N219" s="289" t="str">
        <f t="shared" si="15"/>
        <v>Nord-Pas-de-CalaisAutresPrunier</v>
      </c>
      <c r="P219" s="240" t="s">
        <v>26</v>
      </c>
      <c r="Q219" s="241" t="s">
        <v>170</v>
      </c>
      <c r="R219" s="241" t="s">
        <v>162</v>
      </c>
      <c r="S219" s="220"/>
      <c r="T219" s="220"/>
      <c r="U219" s="220"/>
      <c r="V219" s="223"/>
    </row>
    <row r="220" spans="2:22" x14ac:dyDescent="0.3">
      <c r="B220" t="str">
        <f t="shared" si="12"/>
        <v>Nord-Pas-de-CalaisCerisier</v>
      </c>
      <c r="C220" t="str">
        <f t="shared" si="13"/>
        <v>Nord-Pas-de-CalaisCerisierCerisier</v>
      </c>
      <c r="E220" s="230" t="s">
        <v>26</v>
      </c>
      <c r="F220" s="135" t="s">
        <v>132</v>
      </c>
      <c r="G220" s="135" t="s">
        <v>132</v>
      </c>
      <c r="H220" s="220">
        <v>0</v>
      </c>
      <c r="I220" s="220">
        <v>0.36</v>
      </c>
      <c r="J220" s="220">
        <v>4.0599999999999996</v>
      </c>
      <c r="K220" s="223">
        <v>8.0299999999999994</v>
      </c>
      <c r="L220" s="196"/>
      <c r="M220" s="289" t="str">
        <f t="shared" si="14"/>
        <v>Nord-Pas-de-CalaisCerisier</v>
      </c>
      <c r="N220" s="289" t="str">
        <f t="shared" si="15"/>
        <v>Nord-Pas-de-CalaisCerisierCerisier</v>
      </c>
      <c r="P220" s="240" t="s">
        <v>26</v>
      </c>
      <c r="Q220" s="241" t="s">
        <v>132</v>
      </c>
      <c r="R220" s="241" t="s">
        <v>132</v>
      </c>
      <c r="S220" s="220"/>
      <c r="T220" s="220"/>
      <c r="U220" s="220"/>
      <c r="V220" s="223"/>
    </row>
    <row r="221" spans="2:22" x14ac:dyDescent="0.3">
      <c r="B221" t="str">
        <f t="shared" si="12"/>
        <v>Nord-Pas-de-CalaisMirabellier</v>
      </c>
      <c r="C221" t="str">
        <f t="shared" si="13"/>
        <v>Nord-Pas-de-CalaisMirabellierAutres</v>
      </c>
      <c r="E221" s="230" t="s">
        <v>26</v>
      </c>
      <c r="F221" s="135" t="s">
        <v>145</v>
      </c>
      <c r="G221" s="135" t="s">
        <v>170</v>
      </c>
      <c r="H221" s="220">
        <v>0.01</v>
      </c>
      <c r="I221" s="220">
        <v>0.33</v>
      </c>
      <c r="J221" s="220">
        <v>5.14</v>
      </c>
      <c r="K221" s="223">
        <v>9.34</v>
      </c>
      <c r="L221" s="196"/>
      <c r="M221" s="289" t="str">
        <f t="shared" si="14"/>
        <v>Nord-Pas-de-CalaisMirabellier</v>
      </c>
      <c r="N221" s="289" t="str">
        <f t="shared" si="15"/>
        <v>Nord-Pas-de-CalaisMirabellierAutres</v>
      </c>
      <c r="P221" s="240" t="s">
        <v>26</v>
      </c>
      <c r="Q221" s="241" t="s">
        <v>145</v>
      </c>
      <c r="R221" s="241" t="s">
        <v>170</v>
      </c>
      <c r="S221" s="220"/>
      <c r="T221" s="220"/>
      <c r="U221" s="220"/>
      <c r="V221" s="223"/>
    </row>
    <row r="222" spans="2:22" x14ac:dyDescent="0.3">
      <c r="B222" t="str">
        <f t="shared" si="12"/>
        <v>Nord-Pas-de-CalaisNectarinier</v>
      </c>
      <c r="C222" t="str">
        <f t="shared" si="13"/>
        <v>Nord-Pas-de-CalaisNectarinierNectarinier-Pêcher</v>
      </c>
      <c r="E222" s="230" t="s">
        <v>26</v>
      </c>
      <c r="F222" s="135" t="s">
        <v>151</v>
      </c>
      <c r="G222" s="135" t="s">
        <v>635</v>
      </c>
      <c r="H222" s="220">
        <v>0.03</v>
      </c>
      <c r="I222" s="220">
        <v>0.84</v>
      </c>
      <c r="J222" s="220">
        <v>9.25</v>
      </c>
      <c r="K222" s="223">
        <v>19.38</v>
      </c>
      <c r="L222" s="196"/>
      <c r="M222" s="289" t="str">
        <f t="shared" si="14"/>
        <v>Nord-Pas-de-CalaisNectarinier</v>
      </c>
      <c r="N222" s="289" t="str">
        <f t="shared" si="15"/>
        <v>Nord-Pas-de-CalaisNectarinierNectarinier-Pêcher</v>
      </c>
      <c r="P222" s="240" t="s">
        <v>26</v>
      </c>
      <c r="Q222" s="241" t="s">
        <v>151</v>
      </c>
      <c r="R222" s="241" t="s">
        <v>635</v>
      </c>
      <c r="S222" s="220"/>
      <c r="T222" s="220"/>
      <c r="U222" s="220"/>
      <c r="V222" s="223"/>
    </row>
    <row r="223" spans="2:22" x14ac:dyDescent="0.3">
      <c r="B223" t="str">
        <f t="shared" si="12"/>
        <v>Nord-Pas-de-CalaisNoyer</v>
      </c>
      <c r="C223" t="str">
        <f t="shared" si="13"/>
        <v>Nord-Pas-de-CalaisNoyerAutres</v>
      </c>
      <c r="E223" s="230" t="s">
        <v>26</v>
      </c>
      <c r="F223" s="135" t="s">
        <v>154</v>
      </c>
      <c r="G223" s="135" t="s">
        <v>170</v>
      </c>
      <c r="H223" s="220">
        <v>0.01</v>
      </c>
      <c r="I223" s="220">
        <v>0.33</v>
      </c>
      <c r="J223" s="220">
        <v>5.14</v>
      </c>
      <c r="K223" s="223">
        <v>9.34</v>
      </c>
      <c r="L223" s="196"/>
      <c r="M223" s="289" t="str">
        <f t="shared" si="14"/>
        <v>Nord-Pas-de-CalaisNoyer</v>
      </c>
      <c r="N223" s="289" t="str">
        <f t="shared" si="15"/>
        <v>Nord-Pas-de-CalaisNoyerAutres</v>
      </c>
      <c r="P223" s="240" t="s">
        <v>26</v>
      </c>
      <c r="Q223" s="241" t="s">
        <v>154</v>
      </c>
      <c r="R223" s="241" t="s">
        <v>170</v>
      </c>
      <c r="S223" s="220"/>
      <c r="T223" s="220"/>
      <c r="U223" s="220"/>
      <c r="V223" s="223"/>
    </row>
    <row r="224" spans="2:22" x14ac:dyDescent="0.3">
      <c r="B224" t="str">
        <f t="shared" si="12"/>
        <v>Nord-Pas-de-CalaisPêcher</v>
      </c>
      <c r="C224" t="str">
        <f t="shared" si="13"/>
        <v>Nord-Pas-de-CalaisPêcherNectarinier-Pêcher</v>
      </c>
      <c r="E224" s="230" t="s">
        <v>26</v>
      </c>
      <c r="F224" s="135" t="s">
        <v>158</v>
      </c>
      <c r="G224" s="135" t="s">
        <v>635</v>
      </c>
      <c r="H224" s="220">
        <v>0.03</v>
      </c>
      <c r="I224" s="220">
        <v>0.84</v>
      </c>
      <c r="J224" s="220">
        <v>9.25</v>
      </c>
      <c r="K224" s="223">
        <v>19.38</v>
      </c>
      <c r="L224" s="196"/>
      <c r="M224" s="289" t="str">
        <f t="shared" si="14"/>
        <v>Nord-Pas-de-CalaisPêcher</v>
      </c>
      <c r="N224" s="289" t="str">
        <f t="shared" si="15"/>
        <v>Nord-Pas-de-CalaisPêcherNectarinier-Pêcher</v>
      </c>
      <c r="P224" s="240" t="s">
        <v>26</v>
      </c>
      <c r="Q224" s="241" t="s">
        <v>158</v>
      </c>
      <c r="R224" s="241" t="s">
        <v>635</v>
      </c>
      <c r="S224" s="220"/>
      <c r="T224" s="220"/>
      <c r="U224" s="220"/>
      <c r="V224" s="223"/>
    </row>
    <row r="225" spans="2:22" x14ac:dyDescent="0.3">
      <c r="B225" t="str">
        <f t="shared" si="12"/>
        <v>Nord-Pas-de-CalaisPoirier</v>
      </c>
      <c r="C225" t="str">
        <f t="shared" si="13"/>
        <v>Nord-Pas-de-CalaisPoirierAutres</v>
      </c>
      <c r="E225" s="230" t="s">
        <v>26</v>
      </c>
      <c r="F225" s="135" t="s">
        <v>159</v>
      </c>
      <c r="G225" s="135" t="s">
        <v>170</v>
      </c>
      <c r="H225" s="220">
        <v>0.01</v>
      </c>
      <c r="I225" s="220">
        <v>0.33</v>
      </c>
      <c r="J225" s="220">
        <v>5.14</v>
      </c>
      <c r="K225" s="223">
        <v>9.34</v>
      </c>
      <c r="L225" s="196"/>
      <c r="M225" s="289" t="str">
        <f t="shared" si="14"/>
        <v>Nord-Pas-de-CalaisPoirier</v>
      </c>
      <c r="N225" s="289" t="str">
        <f t="shared" si="15"/>
        <v>Nord-Pas-de-CalaisPoirierAutres</v>
      </c>
      <c r="P225" s="240" t="s">
        <v>26</v>
      </c>
      <c r="Q225" s="241" t="s">
        <v>159</v>
      </c>
      <c r="R225" s="241" t="s">
        <v>170</v>
      </c>
      <c r="S225" s="220"/>
      <c r="T225" s="220"/>
      <c r="U225" s="220"/>
      <c r="V225" s="223"/>
    </row>
    <row r="226" spans="2:22" x14ac:dyDescent="0.3">
      <c r="B226" t="str">
        <f t="shared" si="12"/>
        <v>Nord-Pas-de-CalaisPommier</v>
      </c>
      <c r="C226" t="str">
        <f t="shared" si="13"/>
        <v>Nord-Pas-de-CalaisPommierPommier</v>
      </c>
      <c r="E226" s="230" t="s">
        <v>26</v>
      </c>
      <c r="F226" s="135" t="s">
        <v>161</v>
      </c>
      <c r="G226" s="135" t="s">
        <v>161</v>
      </c>
      <c r="H226" s="220">
        <v>0</v>
      </c>
      <c r="I226" s="220">
        <v>0.53</v>
      </c>
      <c r="J226" s="220">
        <v>9.34</v>
      </c>
      <c r="K226" s="223">
        <v>22.96</v>
      </c>
      <c r="L226" s="196"/>
      <c r="M226" s="289" t="str">
        <f t="shared" si="14"/>
        <v>Nord-Pas-de-CalaisPommier</v>
      </c>
      <c r="N226" s="289" t="str">
        <f t="shared" si="15"/>
        <v>Nord-Pas-de-CalaisPommierPommier</v>
      </c>
      <c r="P226" s="240" t="s">
        <v>26</v>
      </c>
      <c r="Q226" s="241" t="s">
        <v>161</v>
      </c>
      <c r="R226" s="241" t="s">
        <v>161</v>
      </c>
      <c r="S226" s="220"/>
      <c r="T226" s="220"/>
      <c r="U226" s="220"/>
      <c r="V226" s="223"/>
    </row>
    <row r="227" spans="2:22" ht="15" thickBot="1" x14ac:dyDescent="0.35">
      <c r="B227" t="str">
        <f t="shared" si="12"/>
        <v>Nord-Pas-de-CalaisPrunier</v>
      </c>
      <c r="C227" t="str">
        <f t="shared" si="13"/>
        <v>Nord-Pas-de-CalaisPrunierAutres</v>
      </c>
      <c r="E227" s="231" t="s">
        <v>26</v>
      </c>
      <c r="F227" s="232" t="s">
        <v>162</v>
      </c>
      <c r="G227" s="232" t="s">
        <v>170</v>
      </c>
      <c r="H227" s="222">
        <v>0.01</v>
      </c>
      <c r="I227" s="222">
        <v>0.33</v>
      </c>
      <c r="J227" s="222">
        <v>5.14</v>
      </c>
      <c r="K227" s="224">
        <v>9.34</v>
      </c>
      <c r="L227" s="196"/>
      <c r="M227" s="289" t="str">
        <f t="shared" si="14"/>
        <v>Nord-Pas-de-CalaisPrunier</v>
      </c>
      <c r="N227" s="289" t="str">
        <f t="shared" si="15"/>
        <v>Nord-Pas-de-CalaisPrunierAutres</v>
      </c>
      <c r="P227" s="242" t="s">
        <v>26</v>
      </c>
      <c r="Q227" s="243" t="s">
        <v>162</v>
      </c>
      <c r="R227" s="243" t="s">
        <v>170</v>
      </c>
      <c r="S227" s="222"/>
      <c r="T227" s="222"/>
      <c r="U227" s="222"/>
      <c r="V227" s="224"/>
    </row>
    <row r="228" spans="2:22" ht="15" thickTop="1" x14ac:dyDescent="0.3">
      <c r="B228" t="str">
        <f t="shared" si="12"/>
        <v>Pays de la LoireAbricotier</v>
      </c>
      <c r="C228" t="str">
        <f t="shared" si="13"/>
        <v>Pays de la LoireAbricotierAbricotier</v>
      </c>
      <c r="E228" s="230" t="s">
        <v>27</v>
      </c>
      <c r="F228" s="135" t="s">
        <v>127</v>
      </c>
      <c r="G228" s="135" t="s">
        <v>127</v>
      </c>
      <c r="H228" s="220">
        <v>0.01</v>
      </c>
      <c r="I228" s="220">
        <v>0.62</v>
      </c>
      <c r="J228" s="220">
        <v>5.1100000000000003</v>
      </c>
      <c r="K228" s="223">
        <v>10.66</v>
      </c>
      <c r="L228" s="196"/>
      <c r="M228" s="289" t="str">
        <f t="shared" si="14"/>
        <v>Pays de la LoireAbricotier</v>
      </c>
      <c r="N228" s="289" t="str">
        <f t="shared" si="15"/>
        <v>Pays de la LoireAbricotierAbricotier</v>
      </c>
      <c r="P228" s="240" t="s">
        <v>27</v>
      </c>
      <c r="Q228" s="241" t="s">
        <v>127</v>
      </c>
      <c r="R228" s="241" t="s">
        <v>127</v>
      </c>
      <c r="S228" s="220"/>
      <c r="T228" s="220"/>
      <c r="U228" s="220"/>
      <c r="V228" s="223"/>
    </row>
    <row r="229" spans="2:22" x14ac:dyDescent="0.3">
      <c r="B229" t="str">
        <f t="shared" si="12"/>
        <v>Pays de la LoireAgrumes</v>
      </c>
      <c r="C229" t="str">
        <f t="shared" si="13"/>
        <v>Pays de la LoireAgrumesClémentinier</v>
      </c>
      <c r="E229" s="230" t="s">
        <v>27</v>
      </c>
      <c r="F229" s="135" t="s">
        <v>634</v>
      </c>
      <c r="G229" s="135" t="s">
        <v>135</v>
      </c>
      <c r="H229" s="220">
        <v>0</v>
      </c>
      <c r="I229" s="220">
        <v>0.3</v>
      </c>
      <c r="J229" s="220">
        <v>2</v>
      </c>
      <c r="K229" s="223">
        <v>5</v>
      </c>
      <c r="L229" s="196"/>
      <c r="M229" s="289" t="str">
        <f t="shared" si="14"/>
        <v>Pays de la LoireAgrumes</v>
      </c>
      <c r="N229" s="289" t="str">
        <f t="shared" si="15"/>
        <v>Pays de la LoireAgrumesClémentinier</v>
      </c>
      <c r="P229" s="240" t="s">
        <v>27</v>
      </c>
      <c r="Q229" s="241" t="s">
        <v>634</v>
      </c>
      <c r="R229" s="241" t="s">
        <v>135</v>
      </c>
      <c r="S229" s="220"/>
      <c r="T229" s="220"/>
      <c r="U229" s="220"/>
      <c r="V229" s="223"/>
    </row>
    <row r="230" spans="2:22" x14ac:dyDescent="0.3">
      <c r="B230" t="str">
        <f t="shared" si="12"/>
        <v>Pays de la LoireAutres</v>
      </c>
      <c r="C230" t="str">
        <f t="shared" si="13"/>
        <v>Pays de la LoireAutresPrunier</v>
      </c>
      <c r="E230" s="230" t="s">
        <v>27</v>
      </c>
      <c r="F230" s="135" t="s">
        <v>170</v>
      </c>
      <c r="G230" s="135" t="s">
        <v>162</v>
      </c>
      <c r="H230" s="220">
        <v>0.01</v>
      </c>
      <c r="I230" s="220">
        <v>0.33</v>
      </c>
      <c r="J230" s="220">
        <v>5.14</v>
      </c>
      <c r="K230" s="223">
        <v>9.34</v>
      </c>
      <c r="L230" s="196"/>
      <c r="M230" s="289" t="str">
        <f t="shared" si="14"/>
        <v>Pays de la LoireAutres</v>
      </c>
      <c r="N230" s="289" t="str">
        <f t="shared" si="15"/>
        <v>Pays de la LoireAutresPrunier</v>
      </c>
      <c r="P230" s="240" t="s">
        <v>27</v>
      </c>
      <c r="Q230" s="241" t="s">
        <v>170</v>
      </c>
      <c r="R230" s="241" t="s">
        <v>162</v>
      </c>
      <c r="S230" s="220"/>
      <c r="T230" s="220"/>
      <c r="U230" s="220"/>
      <c r="V230" s="223"/>
    </row>
    <row r="231" spans="2:22" x14ac:dyDescent="0.3">
      <c r="B231" t="str">
        <f t="shared" si="12"/>
        <v>Pays de la LoireCerisier</v>
      </c>
      <c r="C231" t="str">
        <f t="shared" si="13"/>
        <v>Pays de la LoireCerisierCerisier</v>
      </c>
      <c r="E231" s="230" t="s">
        <v>27</v>
      </c>
      <c r="F231" s="135" t="s">
        <v>132</v>
      </c>
      <c r="G231" s="135" t="s">
        <v>132</v>
      </c>
      <c r="H231" s="220">
        <v>0</v>
      </c>
      <c r="I231" s="220">
        <v>0.73</v>
      </c>
      <c r="J231" s="220">
        <v>4.28</v>
      </c>
      <c r="K231" s="223">
        <v>7.88</v>
      </c>
      <c r="L231" s="196"/>
      <c r="M231" s="289" t="str">
        <f t="shared" si="14"/>
        <v>Pays de la LoireCerisier</v>
      </c>
      <c r="N231" s="289" t="str">
        <f t="shared" si="15"/>
        <v>Pays de la LoireCerisierCerisier</v>
      </c>
      <c r="P231" s="240" t="s">
        <v>27</v>
      </c>
      <c r="Q231" s="241" t="s">
        <v>132</v>
      </c>
      <c r="R231" s="241" t="s">
        <v>132</v>
      </c>
      <c r="S231" s="220"/>
      <c r="T231" s="220"/>
      <c r="U231" s="220"/>
      <c r="V231" s="223"/>
    </row>
    <row r="232" spans="2:22" x14ac:dyDescent="0.3">
      <c r="B232" t="str">
        <f t="shared" si="12"/>
        <v>Pays de la LoireMirabellier</v>
      </c>
      <c r="C232" t="str">
        <f t="shared" si="13"/>
        <v>Pays de la LoireMirabellierAutres</v>
      </c>
      <c r="E232" s="230" t="s">
        <v>27</v>
      </c>
      <c r="F232" s="135" t="s">
        <v>145</v>
      </c>
      <c r="G232" s="135" t="s">
        <v>170</v>
      </c>
      <c r="H232" s="220">
        <v>0.01</v>
      </c>
      <c r="I232" s="220">
        <v>0.33</v>
      </c>
      <c r="J232" s="220">
        <v>5.14</v>
      </c>
      <c r="K232" s="223">
        <v>9.34</v>
      </c>
      <c r="L232" s="196"/>
      <c r="M232" s="289" t="str">
        <f t="shared" si="14"/>
        <v>Pays de la LoireMirabellier</v>
      </c>
      <c r="N232" s="289" t="str">
        <f t="shared" si="15"/>
        <v>Pays de la LoireMirabellierAutres</v>
      </c>
      <c r="P232" s="240" t="s">
        <v>27</v>
      </c>
      <c r="Q232" s="241" t="s">
        <v>145</v>
      </c>
      <c r="R232" s="241" t="s">
        <v>170</v>
      </c>
      <c r="S232" s="220"/>
      <c r="T232" s="220"/>
      <c r="U232" s="220"/>
      <c r="V232" s="223"/>
    </row>
    <row r="233" spans="2:22" x14ac:dyDescent="0.3">
      <c r="B233" t="str">
        <f t="shared" si="12"/>
        <v>Pays de la LoireNectarinier</v>
      </c>
      <c r="C233" t="str">
        <f t="shared" si="13"/>
        <v>Pays de la LoireNectarinierNectarinier-Pêcher</v>
      </c>
      <c r="E233" s="230" t="s">
        <v>27</v>
      </c>
      <c r="F233" s="135" t="s">
        <v>151</v>
      </c>
      <c r="G233" s="135" t="s">
        <v>635</v>
      </c>
      <c r="H233" s="220">
        <v>0.03</v>
      </c>
      <c r="I233" s="220">
        <v>0.84</v>
      </c>
      <c r="J233" s="220">
        <v>9.25</v>
      </c>
      <c r="K233" s="223">
        <v>19.38</v>
      </c>
      <c r="L233" s="196"/>
      <c r="M233" s="289" t="str">
        <f t="shared" si="14"/>
        <v>Pays de la LoireNectarinier</v>
      </c>
      <c r="N233" s="289" t="str">
        <f t="shared" si="15"/>
        <v>Pays de la LoireNectarinierNectarinier-Pêcher</v>
      </c>
      <c r="P233" s="240" t="s">
        <v>27</v>
      </c>
      <c r="Q233" s="241" t="s">
        <v>151</v>
      </c>
      <c r="R233" s="241" t="s">
        <v>635</v>
      </c>
      <c r="S233" s="220"/>
      <c r="T233" s="220"/>
      <c r="U233" s="220"/>
      <c r="V233" s="223"/>
    </row>
    <row r="234" spans="2:22" x14ac:dyDescent="0.3">
      <c r="B234" t="str">
        <f t="shared" si="12"/>
        <v>Pays de la LoireNoyer</v>
      </c>
      <c r="C234" t="str">
        <f t="shared" si="13"/>
        <v>Pays de la LoireNoyerAutres</v>
      </c>
      <c r="E234" s="230" t="s">
        <v>27</v>
      </c>
      <c r="F234" s="135" t="s">
        <v>154</v>
      </c>
      <c r="G234" s="135" t="s">
        <v>170</v>
      </c>
      <c r="H234" s="220">
        <v>0.01</v>
      </c>
      <c r="I234" s="220">
        <v>0.33</v>
      </c>
      <c r="J234" s="220">
        <v>5.14</v>
      </c>
      <c r="K234" s="223">
        <v>9.34</v>
      </c>
      <c r="L234" s="196"/>
      <c r="M234" s="289" t="str">
        <f t="shared" si="14"/>
        <v>Pays de la LoireNoyer</v>
      </c>
      <c r="N234" s="289" t="str">
        <f t="shared" si="15"/>
        <v>Pays de la LoireNoyerAutres</v>
      </c>
      <c r="P234" s="240" t="s">
        <v>27</v>
      </c>
      <c r="Q234" s="241" t="s">
        <v>154</v>
      </c>
      <c r="R234" s="241" t="s">
        <v>170</v>
      </c>
      <c r="S234" s="220"/>
      <c r="T234" s="220"/>
      <c r="U234" s="220"/>
      <c r="V234" s="223"/>
    </row>
    <row r="235" spans="2:22" x14ac:dyDescent="0.3">
      <c r="B235" t="str">
        <f t="shared" si="12"/>
        <v>Pays de la LoirePêcher</v>
      </c>
      <c r="C235" t="str">
        <f t="shared" si="13"/>
        <v>Pays de la LoirePêcherNectarinier-Pêcher</v>
      </c>
      <c r="E235" s="230" t="s">
        <v>27</v>
      </c>
      <c r="F235" s="135" t="s">
        <v>158</v>
      </c>
      <c r="G235" s="135" t="s">
        <v>635</v>
      </c>
      <c r="H235" s="220">
        <v>0.03</v>
      </c>
      <c r="I235" s="220">
        <v>0.84</v>
      </c>
      <c r="J235" s="220">
        <v>9.25</v>
      </c>
      <c r="K235" s="223">
        <v>19.38</v>
      </c>
      <c r="L235" s="196"/>
      <c r="M235" s="289" t="str">
        <f t="shared" si="14"/>
        <v>Pays de la LoirePêcher</v>
      </c>
      <c r="N235" s="289" t="str">
        <f t="shared" si="15"/>
        <v>Pays de la LoirePêcherNectarinier-Pêcher</v>
      </c>
      <c r="P235" s="240" t="s">
        <v>27</v>
      </c>
      <c r="Q235" s="241" t="s">
        <v>158</v>
      </c>
      <c r="R235" s="241" t="s">
        <v>635</v>
      </c>
      <c r="S235" s="220"/>
      <c r="T235" s="220"/>
      <c r="U235" s="220"/>
      <c r="V235" s="223"/>
    </row>
    <row r="236" spans="2:22" x14ac:dyDescent="0.3">
      <c r="B236" t="str">
        <f t="shared" si="12"/>
        <v>Pays de la LoirePoirier</v>
      </c>
      <c r="C236" t="str">
        <f t="shared" si="13"/>
        <v>Pays de la LoirePoirierAutres</v>
      </c>
      <c r="E236" s="230" t="s">
        <v>27</v>
      </c>
      <c r="F236" s="135" t="s">
        <v>159</v>
      </c>
      <c r="G236" s="135" t="s">
        <v>170</v>
      </c>
      <c r="H236" s="220">
        <v>0.01</v>
      </c>
      <c r="I236" s="220">
        <v>0.33</v>
      </c>
      <c r="J236" s="220">
        <v>5.14</v>
      </c>
      <c r="K236" s="223">
        <v>9.34</v>
      </c>
      <c r="L236" s="196"/>
      <c r="M236" s="289" t="str">
        <f t="shared" si="14"/>
        <v>Pays de la LoirePoirier</v>
      </c>
      <c r="N236" s="289" t="str">
        <f t="shared" si="15"/>
        <v>Pays de la LoirePoirierAutres</v>
      </c>
      <c r="P236" s="240" t="s">
        <v>27</v>
      </c>
      <c r="Q236" s="241" t="s">
        <v>159</v>
      </c>
      <c r="R236" s="241" t="s">
        <v>170</v>
      </c>
      <c r="S236" s="220"/>
      <c r="T236" s="220"/>
      <c r="U236" s="220"/>
      <c r="V236" s="223"/>
    </row>
    <row r="237" spans="2:22" x14ac:dyDescent="0.3">
      <c r="B237" t="str">
        <f t="shared" si="12"/>
        <v>Pays de la LoirePommier</v>
      </c>
      <c r="C237" t="str">
        <f t="shared" si="13"/>
        <v>Pays de la LoirePommierPommier</v>
      </c>
      <c r="E237" s="230" t="s">
        <v>27</v>
      </c>
      <c r="F237" s="135" t="s">
        <v>161</v>
      </c>
      <c r="G237" s="135" t="s">
        <v>161</v>
      </c>
      <c r="H237" s="220">
        <v>0.06</v>
      </c>
      <c r="I237" s="220">
        <v>0.83</v>
      </c>
      <c r="J237" s="220">
        <v>22.56</v>
      </c>
      <c r="K237" s="223">
        <v>37.67</v>
      </c>
      <c r="L237" s="196"/>
      <c r="M237" s="289" t="str">
        <f t="shared" si="14"/>
        <v>Pays de la LoirePommier</v>
      </c>
      <c r="N237" s="289" t="str">
        <f t="shared" si="15"/>
        <v>Pays de la LoirePommierPommier</v>
      </c>
      <c r="P237" s="240" t="s">
        <v>27</v>
      </c>
      <c r="Q237" s="241" t="s">
        <v>161</v>
      </c>
      <c r="R237" s="241" t="s">
        <v>161</v>
      </c>
      <c r="S237" s="220"/>
      <c r="T237" s="220"/>
      <c r="U237" s="220"/>
      <c r="V237" s="223"/>
    </row>
    <row r="238" spans="2:22" ht="15" thickBot="1" x14ac:dyDescent="0.35">
      <c r="B238" t="str">
        <f t="shared" si="12"/>
        <v>Pays de la LoirePrunier</v>
      </c>
      <c r="C238" t="str">
        <f t="shared" si="13"/>
        <v>Pays de la LoirePrunierAutres</v>
      </c>
      <c r="E238" s="231" t="s">
        <v>27</v>
      </c>
      <c r="F238" s="232" t="s">
        <v>162</v>
      </c>
      <c r="G238" s="232" t="s">
        <v>170</v>
      </c>
      <c r="H238" s="222">
        <v>0.01</v>
      </c>
      <c r="I238" s="222">
        <v>0.33</v>
      </c>
      <c r="J238" s="222">
        <v>5.14</v>
      </c>
      <c r="K238" s="224">
        <v>9.34</v>
      </c>
      <c r="L238" s="196"/>
      <c r="M238" s="289" t="str">
        <f t="shared" si="14"/>
        <v>Pays de la LoirePrunier</v>
      </c>
      <c r="N238" s="289" t="str">
        <f t="shared" si="15"/>
        <v>Pays de la LoirePrunierAutres</v>
      </c>
      <c r="P238" s="242" t="s">
        <v>27</v>
      </c>
      <c r="Q238" s="243" t="s">
        <v>162</v>
      </c>
      <c r="R238" s="243" t="s">
        <v>170</v>
      </c>
      <c r="S238" s="222"/>
      <c r="T238" s="222"/>
      <c r="U238" s="222"/>
      <c r="V238" s="224"/>
    </row>
    <row r="239" spans="2:22" ht="15" thickTop="1" x14ac:dyDescent="0.3">
      <c r="B239" t="str">
        <f t="shared" si="12"/>
        <v>PicardieAbricotier</v>
      </c>
      <c r="C239" t="str">
        <f t="shared" si="13"/>
        <v>PicardieAbricotierAbricotier</v>
      </c>
      <c r="E239" s="230" t="s">
        <v>28</v>
      </c>
      <c r="F239" s="135" t="s">
        <v>127</v>
      </c>
      <c r="G239" s="135" t="s">
        <v>127</v>
      </c>
      <c r="H239" s="220">
        <v>0.01</v>
      </c>
      <c r="I239" s="220">
        <v>0.62</v>
      </c>
      <c r="J239" s="220">
        <v>5.1100000000000003</v>
      </c>
      <c r="K239" s="223">
        <v>10.66</v>
      </c>
      <c r="L239" s="196"/>
      <c r="M239" s="289" t="str">
        <f t="shared" si="14"/>
        <v>PicardieAbricotier</v>
      </c>
      <c r="N239" s="289" t="str">
        <f t="shared" si="15"/>
        <v>PicardieAbricotierAbricotier</v>
      </c>
      <c r="P239" s="240" t="s">
        <v>28</v>
      </c>
      <c r="Q239" s="241" t="s">
        <v>127</v>
      </c>
      <c r="R239" s="241" t="s">
        <v>127</v>
      </c>
      <c r="S239" s="220"/>
      <c r="T239" s="220"/>
      <c r="U239" s="220"/>
      <c r="V239" s="223"/>
    </row>
    <row r="240" spans="2:22" x14ac:dyDescent="0.3">
      <c r="B240" t="str">
        <f t="shared" si="12"/>
        <v>PicardieAgrumes</v>
      </c>
      <c r="C240" t="str">
        <f t="shared" si="13"/>
        <v>PicardieAgrumesClémentinier</v>
      </c>
      <c r="E240" s="230" t="s">
        <v>28</v>
      </c>
      <c r="F240" s="135" t="s">
        <v>634</v>
      </c>
      <c r="G240" s="135" t="s">
        <v>135</v>
      </c>
      <c r="H240" s="220">
        <v>0</v>
      </c>
      <c r="I240" s="220">
        <v>0.3</v>
      </c>
      <c r="J240" s="220">
        <v>2</v>
      </c>
      <c r="K240" s="223">
        <v>5</v>
      </c>
      <c r="L240" s="196"/>
      <c r="M240" s="289" t="str">
        <f t="shared" si="14"/>
        <v>PicardieAgrumes</v>
      </c>
      <c r="N240" s="289" t="str">
        <f t="shared" si="15"/>
        <v>PicardieAgrumesClémentinier</v>
      </c>
      <c r="P240" s="240" t="s">
        <v>28</v>
      </c>
      <c r="Q240" s="241" t="s">
        <v>634</v>
      </c>
      <c r="R240" s="241" t="s">
        <v>135</v>
      </c>
      <c r="S240" s="220"/>
      <c r="T240" s="220"/>
      <c r="U240" s="220"/>
      <c r="V240" s="223"/>
    </row>
    <row r="241" spans="2:22" x14ac:dyDescent="0.3">
      <c r="B241" t="str">
        <f t="shared" si="12"/>
        <v>PicardieAutres</v>
      </c>
      <c r="C241" t="str">
        <f t="shared" si="13"/>
        <v>PicardieAutresPrunier</v>
      </c>
      <c r="E241" s="230" t="s">
        <v>28</v>
      </c>
      <c r="F241" s="135" t="s">
        <v>170</v>
      </c>
      <c r="G241" s="135" t="s">
        <v>162</v>
      </c>
      <c r="H241" s="220">
        <v>0.01</v>
      </c>
      <c r="I241" s="220">
        <v>0.33</v>
      </c>
      <c r="J241" s="220">
        <v>5.14</v>
      </c>
      <c r="K241" s="223">
        <v>9.34</v>
      </c>
      <c r="L241" s="196"/>
      <c r="M241" s="289" t="str">
        <f t="shared" si="14"/>
        <v>PicardieAutres</v>
      </c>
      <c r="N241" s="289" t="str">
        <f t="shared" si="15"/>
        <v>PicardieAutresPrunier</v>
      </c>
      <c r="P241" s="240" t="s">
        <v>28</v>
      </c>
      <c r="Q241" s="241" t="s">
        <v>170</v>
      </c>
      <c r="R241" s="241" t="s">
        <v>162</v>
      </c>
      <c r="S241" s="220"/>
      <c r="T241" s="220"/>
      <c r="U241" s="220"/>
      <c r="V241" s="223"/>
    </row>
    <row r="242" spans="2:22" x14ac:dyDescent="0.3">
      <c r="B242" t="str">
        <f t="shared" si="12"/>
        <v>PicardieCerisier</v>
      </c>
      <c r="C242" t="str">
        <f t="shared" si="13"/>
        <v>PicardieCerisierCerisier</v>
      </c>
      <c r="E242" s="230" t="s">
        <v>28</v>
      </c>
      <c r="F242" s="135" t="s">
        <v>132</v>
      </c>
      <c r="G242" s="135" t="s">
        <v>132</v>
      </c>
      <c r="H242" s="220">
        <v>0</v>
      </c>
      <c r="I242" s="220">
        <v>0.36</v>
      </c>
      <c r="J242" s="220">
        <v>4.0599999999999996</v>
      </c>
      <c r="K242" s="223">
        <v>8.0299999999999994</v>
      </c>
      <c r="L242" s="196"/>
      <c r="M242" s="289" t="str">
        <f t="shared" si="14"/>
        <v>PicardieCerisier</v>
      </c>
      <c r="N242" s="289" t="str">
        <f t="shared" si="15"/>
        <v>PicardieCerisierCerisier</v>
      </c>
      <c r="P242" s="240" t="s">
        <v>28</v>
      </c>
      <c r="Q242" s="241" t="s">
        <v>132</v>
      </c>
      <c r="R242" s="241" t="s">
        <v>132</v>
      </c>
      <c r="S242" s="220"/>
      <c r="T242" s="220"/>
      <c r="U242" s="220"/>
      <c r="V242" s="223"/>
    </row>
    <row r="243" spans="2:22" x14ac:dyDescent="0.3">
      <c r="B243" t="str">
        <f t="shared" si="12"/>
        <v>PicardieMirabellier</v>
      </c>
      <c r="C243" t="str">
        <f t="shared" si="13"/>
        <v>PicardieMirabellierAutres</v>
      </c>
      <c r="E243" s="230" t="s">
        <v>28</v>
      </c>
      <c r="F243" s="135" t="s">
        <v>145</v>
      </c>
      <c r="G243" s="135" t="s">
        <v>170</v>
      </c>
      <c r="H243" s="220">
        <v>0.01</v>
      </c>
      <c r="I243" s="220">
        <v>0.33</v>
      </c>
      <c r="J243" s="220">
        <v>5.14</v>
      </c>
      <c r="K243" s="223">
        <v>9.34</v>
      </c>
      <c r="L243" s="196"/>
      <c r="M243" s="289" t="str">
        <f t="shared" si="14"/>
        <v>PicardieMirabellier</v>
      </c>
      <c r="N243" s="289" t="str">
        <f t="shared" si="15"/>
        <v>PicardieMirabellierAutres</v>
      </c>
      <c r="P243" s="240" t="s">
        <v>28</v>
      </c>
      <c r="Q243" s="241" t="s">
        <v>145</v>
      </c>
      <c r="R243" s="241" t="s">
        <v>170</v>
      </c>
      <c r="S243" s="220"/>
      <c r="T243" s="220"/>
      <c r="U243" s="220"/>
      <c r="V243" s="223"/>
    </row>
    <row r="244" spans="2:22" x14ac:dyDescent="0.3">
      <c r="B244" t="str">
        <f t="shared" si="12"/>
        <v>PicardieNectarinier</v>
      </c>
      <c r="C244" t="str">
        <f t="shared" si="13"/>
        <v>PicardieNectarinierNectarinier-Pêcher</v>
      </c>
      <c r="E244" s="230" t="s">
        <v>28</v>
      </c>
      <c r="F244" s="135" t="s">
        <v>151</v>
      </c>
      <c r="G244" s="135" t="s">
        <v>635</v>
      </c>
      <c r="H244" s="220">
        <v>0.03</v>
      </c>
      <c r="I244" s="220">
        <v>0.84</v>
      </c>
      <c r="J244" s="220">
        <v>9.25</v>
      </c>
      <c r="K244" s="223">
        <v>19.38</v>
      </c>
      <c r="L244" s="196"/>
      <c r="M244" s="289" t="str">
        <f t="shared" si="14"/>
        <v>PicardieNectarinier</v>
      </c>
      <c r="N244" s="289" t="str">
        <f t="shared" si="15"/>
        <v>PicardieNectarinierNectarinier-Pêcher</v>
      </c>
      <c r="P244" s="240" t="s">
        <v>28</v>
      </c>
      <c r="Q244" s="241" t="s">
        <v>151</v>
      </c>
      <c r="R244" s="241" t="s">
        <v>635</v>
      </c>
      <c r="S244" s="220"/>
      <c r="T244" s="220"/>
      <c r="U244" s="220"/>
      <c r="V244" s="223"/>
    </row>
    <row r="245" spans="2:22" x14ac:dyDescent="0.3">
      <c r="B245" t="str">
        <f t="shared" si="12"/>
        <v>PicardieNoyer</v>
      </c>
      <c r="C245" t="str">
        <f t="shared" si="13"/>
        <v>PicardieNoyerAutres</v>
      </c>
      <c r="E245" s="230" t="s">
        <v>28</v>
      </c>
      <c r="F245" s="135" t="s">
        <v>154</v>
      </c>
      <c r="G245" s="135" t="s">
        <v>170</v>
      </c>
      <c r="H245" s="220">
        <v>0.01</v>
      </c>
      <c r="I245" s="220">
        <v>0.33</v>
      </c>
      <c r="J245" s="220">
        <v>5.14</v>
      </c>
      <c r="K245" s="223">
        <v>9.34</v>
      </c>
      <c r="L245" s="196"/>
      <c r="M245" s="289" t="str">
        <f t="shared" si="14"/>
        <v>PicardieNoyer</v>
      </c>
      <c r="N245" s="289" t="str">
        <f t="shared" si="15"/>
        <v>PicardieNoyerAutres</v>
      </c>
      <c r="P245" s="240" t="s">
        <v>28</v>
      </c>
      <c r="Q245" s="241" t="s">
        <v>154</v>
      </c>
      <c r="R245" s="241" t="s">
        <v>170</v>
      </c>
      <c r="S245" s="220"/>
      <c r="T245" s="220"/>
      <c r="U245" s="220"/>
      <c r="V245" s="223"/>
    </row>
    <row r="246" spans="2:22" x14ac:dyDescent="0.3">
      <c r="B246" t="str">
        <f t="shared" si="12"/>
        <v>PicardiePêcher</v>
      </c>
      <c r="C246" t="str">
        <f t="shared" si="13"/>
        <v>PicardiePêcherNectarinier-Pêcher</v>
      </c>
      <c r="E246" s="230" t="s">
        <v>28</v>
      </c>
      <c r="F246" s="135" t="s">
        <v>158</v>
      </c>
      <c r="G246" s="135" t="s">
        <v>635</v>
      </c>
      <c r="H246" s="220">
        <v>0.03</v>
      </c>
      <c r="I246" s="220">
        <v>0.84</v>
      </c>
      <c r="J246" s="220">
        <v>9.25</v>
      </c>
      <c r="K246" s="223">
        <v>19.38</v>
      </c>
      <c r="L246" s="196"/>
      <c r="M246" s="289" t="str">
        <f t="shared" si="14"/>
        <v>PicardiePêcher</v>
      </c>
      <c r="N246" s="289" t="str">
        <f t="shared" si="15"/>
        <v>PicardiePêcherNectarinier-Pêcher</v>
      </c>
      <c r="P246" s="240" t="s">
        <v>28</v>
      </c>
      <c r="Q246" s="241" t="s">
        <v>158</v>
      </c>
      <c r="R246" s="241" t="s">
        <v>635</v>
      </c>
      <c r="S246" s="220"/>
      <c r="T246" s="220"/>
      <c r="U246" s="220"/>
      <c r="V246" s="223"/>
    </row>
    <row r="247" spans="2:22" x14ac:dyDescent="0.3">
      <c r="B247" t="str">
        <f t="shared" si="12"/>
        <v>PicardiePoirier</v>
      </c>
      <c r="C247" t="str">
        <f t="shared" si="13"/>
        <v>PicardiePoirierAutres</v>
      </c>
      <c r="E247" s="230" t="s">
        <v>28</v>
      </c>
      <c r="F247" s="135" t="s">
        <v>159</v>
      </c>
      <c r="G247" s="135" t="s">
        <v>170</v>
      </c>
      <c r="H247" s="220">
        <v>0.01</v>
      </c>
      <c r="I247" s="220">
        <v>0.33</v>
      </c>
      <c r="J247" s="220">
        <v>5.14</v>
      </c>
      <c r="K247" s="223">
        <v>9.34</v>
      </c>
      <c r="L247" s="196"/>
      <c r="M247" s="289" t="str">
        <f t="shared" si="14"/>
        <v>PicardiePoirier</v>
      </c>
      <c r="N247" s="289" t="str">
        <f t="shared" si="15"/>
        <v>PicardiePoirierAutres</v>
      </c>
      <c r="P247" s="240" t="s">
        <v>28</v>
      </c>
      <c r="Q247" s="241" t="s">
        <v>159</v>
      </c>
      <c r="R247" s="241" t="s">
        <v>170</v>
      </c>
      <c r="S247" s="220"/>
      <c r="T247" s="220"/>
      <c r="U247" s="220"/>
      <c r="V247" s="223"/>
    </row>
    <row r="248" spans="2:22" x14ac:dyDescent="0.3">
      <c r="B248" t="str">
        <f t="shared" si="12"/>
        <v>PicardiePommier</v>
      </c>
      <c r="C248" t="str">
        <f t="shared" si="13"/>
        <v>PicardiePommierPommier</v>
      </c>
      <c r="E248" s="230" t="s">
        <v>28</v>
      </c>
      <c r="F248" s="135" t="s">
        <v>161</v>
      </c>
      <c r="G248" s="135" t="s">
        <v>161</v>
      </c>
      <c r="H248" s="220">
        <v>0.04</v>
      </c>
      <c r="I248" s="220">
        <v>0.67</v>
      </c>
      <c r="J248" s="220">
        <v>11.76</v>
      </c>
      <c r="K248" s="223">
        <v>28.31</v>
      </c>
      <c r="L248" s="196"/>
      <c r="M248" s="289" t="str">
        <f t="shared" si="14"/>
        <v>PicardiePommier</v>
      </c>
      <c r="N248" s="289" t="str">
        <f t="shared" si="15"/>
        <v>PicardiePommierPommier</v>
      </c>
      <c r="P248" s="240" t="s">
        <v>28</v>
      </c>
      <c r="Q248" s="241" t="s">
        <v>161</v>
      </c>
      <c r="R248" s="241" t="s">
        <v>161</v>
      </c>
      <c r="S248" s="220"/>
      <c r="T248" s="220"/>
      <c r="U248" s="220"/>
      <c r="V248" s="223"/>
    </row>
    <row r="249" spans="2:22" ht="15" thickBot="1" x14ac:dyDescent="0.35">
      <c r="B249" t="str">
        <f t="shared" si="12"/>
        <v>PicardiePrunier</v>
      </c>
      <c r="C249" t="str">
        <f t="shared" si="13"/>
        <v>PicardiePrunierAutres</v>
      </c>
      <c r="E249" s="231" t="s">
        <v>28</v>
      </c>
      <c r="F249" s="232" t="s">
        <v>162</v>
      </c>
      <c r="G249" s="232" t="s">
        <v>170</v>
      </c>
      <c r="H249" s="222">
        <v>0.01</v>
      </c>
      <c r="I249" s="222">
        <v>0.33</v>
      </c>
      <c r="J249" s="222">
        <v>5.14</v>
      </c>
      <c r="K249" s="224">
        <v>9.34</v>
      </c>
      <c r="L249" s="196"/>
      <c r="M249" s="289" t="str">
        <f t="shared" si="14"/>
        <v>PicardiePrunier</v>
      </c>
      <c r="N249" s="289" t="str">
        <f t="shared" si="15"/>
        <v>PicardiePrunierAutres</v>
      </c>
      <c r="P249" s="242" t="s">
        <v>28</v>
      </c>
      <c r="Q249" s="243" t="s">
        <v>162</v>
      </c>
      <c r="R249" s="243" t="s">
        <v>170</v>
      </c>
      <c r="S249" s="222"/>
      <c r="T249" s="222"/>
      <c r="U249" s="222"/>
      <c r="V249" s="224"/>
    </row>
    <row r="250" spans="2:22" ht="15" thickTop="1" x14ac:dyDescent="0.3">
      <c r="B250" t="str">
        <f t="shared" si="12"/>
        <v>Poitou-CharentesAbricotier</v>
      </c>
      <c r="C250" t="str">
        <f t="shared" si="13"/>
        <v>Poitou-CharentesAbricotierAbricotier</v>
      </c>
      <c r="E250" s="230" t="s">
        <v>29</v>
      </c>
      <c r="F250" s="135" t="s">
        <v>127</v>
      </c>
      <c r="G250" s="135" t="s">
        <v>127</v>
      </c>
      <c r="H250" s="220">
        <v>0.01</v>
      </c>
      <c r="I250" s="220">
        <v>0.62</v>
      </c>
      <c r="J250" s="220">
        <v>5.1100000000000003</v>
      </c>
      <c r="K250" s="223">
        <v>10.66</v>
      </c>
      <c r="L250" s="196"/>
      <c r="M250" s="289" t="str">
        <f t="shared" si="14"/>
        <v>Poitou-CharentesAbricotier</v>
      </c>
      <c r="N250" s="289" t="str">
        <f t="shared" si="15"/>
        <v>Poitou-CharentesAbricotierAbricotier</v>
      </c>
      <c r="P250" s="240" t="s">
        <v>29</v>
      </c>
      <c r="Q250" s="241" t="s">
        <v>127</v>
      </c>
      <c r="R250" s="241" t="s">
        <v>127</v>
      </c>
      <c r="S250" s="220"/>
      <c r="T250" s="220"/>
      <c r="U250" s="220"/>
      <c r="V250" s="223"/>
    </row>
    <row r="251" spans="2:22" x14ac:dyDescent="0.3">
      <c r="B251" t="str">
        <f t="shared" si="12"/>
        <v>Poitou-CharentesAgrumes</v>
      </c>
      <c r="C251" t="str">
        <f t="shared" si="13"/>
        <v>Poitou-CharentesAgrumesClémentinier</v>
      </c>
      <c r="E251" s="230" t="s">
        <v>29</v>
      </c>
      <c r="F251" s="135" t="s">
        <v>634</v>
      </c>
      <c r="G251" s="135" t="s">
        <v>135</v>
      </c>
      <c r="H251" s="220">
        <v>0</v>
      </c>
      <c r="I251" s="220">
        <v>0.3</v>
      </c>
      <c r="J251" s="220">
        <v>2</v>
      </c>
      <c r="K251" s="223">
        <v>5</v>
      </c>
      <c r="L251" s="196"/>
      <c r="M251" s="289" t="str">
        <f t="shared" si="14"/>
        <v>Poitou-CharentesAgrumes</v>
      </c>
      <c r="N251" s="289" t="str">
        <f t="shared" si="15"/>
        <v>Poitou-CharentesAgrumesClémentinier</v>
      </c>
      <c r="P251" s="240" t="s">
        <v>29</v>
      </c>
      <c r="Q251" s="241" t="s">
        <v>634</v>
      </c>
      <c r="R251" s="241" t="s">
        <v>135</v>
      </c>
      <c r="S251" s="220"/>
      <c r="T251" s="220"/>
      <c r="U251" s="220"/>
      <c r="V251" s="223"/>
    </row>
    <row r="252" spans="2:22" x14ac:dyDescent="0.3">
      <c r="B252" t="str">
        <f t="shared" si="12"/>
        <v>Poitou-CharentesAutres</v>
      </c>
      <c r="C252" t="str">
        <f t="shared" si="13"/>
        <v>Poitou-CharentesAutresPrunier</v>
      </c>
      <c r="E252" s="230" t="s">
        <v>29</v>
      </c>
      <c r="F252" s="135" t="s">
        <v>170</v>
      </c>
      <c r="G252" s="135" t="s">
        <v>162</v>
      </c>
      <c r="H252" s="220">
        <v>0.01</v>
      </c>
      <c r="I252" s="220">
        <v>0.33</v>
      </c>
      <c r="J252" s="220">
        <v>5.14</v>
      </c>
      <c r="K252" s="223">
        <v>9.34</v>
      </c>
      <c r="L252" s="196"/>
      <c r="M252" s="289" t="str">
        <f t="shared" si="14"/>
        <v>Poitou-CharentesAutres</v>
      </c>
      <c r="N252" s="289" t="str">
        <f t="shared" si="15"/>
        <v>Poitou-CharentesAutresPrunier</v>
      </c>
      <c r="P252" s="240" t="s">
        <v>29</v>
      </c>
      <c r="Q252" s="241" t="s">
        <v>170</v>
      </c>
      <c r="R252" s="241" t="s">
        <v>162</v>
      </c>
      <c r="S252" s="220"/>
      <c r="T252" s="220"/>
      <c r="U252" s="220"/>
      <c r="V252" s="223"/>
    </row>
    <row r="253" spans="2:22" x14ac:dyDescent="0.3">
      <c r="B253" t="str">
        <f t="shared" si="12"/>
        <v>Poitou-CharentesCerisier</v>
      </c>
      <c r="C253" t="str">
        <f t="shared" si="13"/>
        <v>Poitou-CharentesCerisierCerisier</v>
      </c>
      <c r="E253" s="230" t="s">
        <v>29</v>
      </c>
      <c r="F253" s="135" t="s">
        <v>132</v>
      </c>
      <c r="G253" s="135" t="s">
        <v>132</v>
      </c>
      <c r="H253" s="220">
        <v>0</v>
      </c>
      <c r="I253" s="220">
        <v>0.36</v>
      </c>
      <c r="J253" s="220">
        <v>4.0599999999999996</v>
      </c>
      <c r="K253" s="223">
        <v>8.0299999999999994</v>
      </c>
      <c r="L253" s="196"/>
      <c r="M253" s="289" t="str">
        <f t="shared" si="14"/>
        <v>Poitou-CharentesCerisier</v>
      </c>
      <c r="N253" s="289" t="str">
        <f t="shared" si="15"/>
        <v>Poitou-CharentesCerisierCerisier</v>
      </c>
      <c r="P253" s="240" t="s">
        <v>29</v>
      </c>
      <c r="Q253" s="241" t="s">
        <v>132</v>
      </c>
      <c r="R253" s="241" t="s">
        <v>132</v>
      </c>
      <c r="S253" s="220"/>
      <c r="T253" s="220"/>
      <c r="U253" s="220"/>
      <c r="V253" s="223"/>
    </row>
    <row r="254" spans="2:22" x14ac:dyDescent="0.3">
      <c r="B254" t="str">
        <f t="shared" si="12"/>
        <v>Poitou-CharentesMirabellier</v>
      </c>
      <c r="C254" t="str">
        <f t="shared" si="13"/>
        <v>Poitou-CharentesMirabellierAutres</v>
      </c>
      <c r="E254" s="230" t="s">
        <v>29</v>
      </c>
      <c r="F254" s="135" t="s">
        <v>145</v>
      </c>
      <c r="G254" s="135" t="s">
        <v>170</v>
      </c>
      <c r="H254" s="220">
        <v>0.01</v>
      </c>
      <c r="I254" s="220">
        <v>0.33</v>
      </c>
      <c r="J254" s="220">
        <v>5.14</v>
      </c>
      <c r="K254" s="223">
        <v>9.34</v>
      </c>
      <c r="L254" s="196"/>
      <c r="M254" s="289" t="str">
        <f t="shared" si="14"/>
        <v>Poitou-CharentesMirabellier</v>
      </c>
      <c r="N254" s="289" t="str">
        <f t="shared" si="15"/>
        <v>Poitou-CharentesMirabellierAutres</v>
      </c>
      <c r="P254" s="240" t="s">
        <v>29</v>
      </c>
      <c r="Q254" s="241" t="s">
        <v>145</v>
      </c>
      <c r="R254" s="241" t="s">
        <v>170</v>
      </c>
      <c r="S254" s="220"/>
      <c r="T254" s="220"/>
      <c r="U254" s="220"/>
      <c r="V254" s="223"/>
    </row>
    <row r="255" spans="2:22" x14ac:dyDescent="0.3">
      <c r="B255" t="str">
        <f t="shared" si="12"/>
        <v>Poitou-CharentesNectarinier</v>
      </c>
      <c r="C255" t="str">
        <f t="shared" si="13"/>
        <v>Poitou-CharentesNectarinierNectarinier-Pêcher</v>
      </c>
      <c r="E255" s="230" t="s">
        <v>29</v>
      </c>
      <c r="F255" s="135" t="s">
        <v>151</v>
      </c>
      <c r="G255" s="135" t="s">
        <v>635</v>
      </c>
      <c r="H255" s="220">
        <v>0.03</v>
      </c>
      <c r="I255" s="220">
        <v>0.84</v>
      </c>
      <c r="J255" s="220">
        <v>9.25</v>
      </c>
      <c r="K255" s="223">
        <v>19.38</v>
      </c>
      <c r="L255" s="196"/>
      <c r="M255" s="289" t="str">
        <f t="shared" si="14"/>
        <v>Poitou-CharentesNectarinier</v>
      </c>
      <c r="N255" s="289" t="str">
        <f t="shared" si="15"/>
        <v>Poitou-CharentesNectarinierNectarinier-Pêcher</v>
      </c>
      <c r="P255" s="240" t="s">
        <v>29</v>
      </c>
      <c r="Q255" s="241" t="s">
        <v>151</v>
      </c>
      <c r="R255" s="241" t="s">
        <v>635</v>
      </c>
      <c r="S255" s="220"/>
      <c r="T255" s="220"/>
      <c r="U255" s="220"/>
      <c r="V255" s="223"/>
    </row>
    <row r="256" spans="2:22" x14ac:dyDescent="0.3">
      <c r="B256" t="str">
        <f t="shared" si="12"/>
        <v>Poitou-CharentesNoyer</v>
      </c>
      <c r="C256" t="str">
        <f t="shared" si="13"/>
        <v>Poitou-CharentesNoyerAutres</v>
      </c>
      <c r="E256" s="230" t="s">
        <v>29</v>
      </c>
      <c r="F256" s="135" t="s">
        <v>154</v>
      </c>
      <c r="G256" s="135" t="s">
        <v>170</v>
      </c>
      <c r="H256" s="220">
        <v>0.01</v>
      </c>
      <c r="I256" s="220">
        <v>0.33</v>
      </c>
      <c r="J256" s="220">
        <v>5.14</v>
      </c>
      <c r="K256" s="223">
        <v>9.34</v>
      </c>
      <c r="L256" s="196"/>
      <c r="M256" s="289" t="str">
        <f t="shared" si="14"/>
        <v>Poitou-CharentesNoyer</v>
      </c>
      <c r="N256" s="289" t="str">
        <f t="shared" si="15"/>
        <v>Poitou-CharentesNoyerAutres</v>
      </c>
      <c r="P256" s="240" t="s">
        <v>29</v>
      </c>
      <c r="Q256" s="241" t="s">
        <v>154</v>
      </c>
      <c r="R256" s="241" t="s">
        <v>170</v>
      </c>
      <c r="S256" s="220"/>
      <c r="T256" s="220"/>
      <c r="U256" s="220"/>
      <c r="V256" s="223"/>
    </row>
    <row r="257" spans="2:22" x14ac:dyDescent="0.3">
      <c r="B257" t="str">
        <f t="shared" si="12"/>
        <v>Poitou-CharentesPêcher</v>
      </c>
      <c r="C257" t="str">
        <f t="shared" si="13"/>
        <v>Poitou-CharentesPêcherNectarinier-Pêcher</v>
      </c>
      <c r="E257" s="230" t="s">
        <v>29</v>
      </c>
      <c r="F257" s="135" t="s">
        <v>158</v>
      </c>
      <c r="G257" s="135" t="s">
        <v>635</v>
      </c>
      <c r="H257" s="220">
        <v>0.03</v>
      </c>
      <c r="I257" s="220">
        <v>0.84</v>
      </c>
      <c r="J257" s="220">
        <v>9.25</v>
      </c>
      <c r="K257" s="223">
        <v>19.38</v>
      </c>
      <c r="L257" s="196"/>
      <c r="M257" s="289" t="str">
        <f t="shared" si="14"/>
        <v>Poitou-CharentesPêcher</v>
      </c>
      <c r="N257" s="289" t="str">
        <f t="shared" si="15"/>
        <v>Poitou-CharentesPêcherNectarinier-Pêcher</v>
      </c>
      <c r="P257" s="240" t="s">
        <v>29</v>
      </c>
      <c r="Q257" s="241" t="s">
        <v>158</v>
      </c>
      <c r="R257" s="241" t="s">
        <v>635</v>
      </c>
      <c r="S257" s="220"/>
      <c r="T257" s="220"/>
      <c r="U257" s="220"/>
      <c r="V257" s="223"/>
    </row>
    <row r="258" spans="2:22" x14ac:dyDescent="0.3">
      <c r="B258" t="str">
        <f t="shared" si="12"/>
        <v>Poitou-CharentesPoirier</v>
      </c>
      <c r="C258" t="str">
        <f t="shared" si="13"/>
        <v>Poitou-CharentesPoirierAutres</v>
      </c>
      <c r="E258" s="230" t="s">
        <v>29</v>
      </c>
      <c r="F258" s="135" t="s">
        <v>159</v>
      </c>
      <c r="G258" s="135" t="s">
        <v>170</v>
      </c>
      <c r="H258" s="220">
        <v>0.01</v>
      </c>
      <c r="I258" s="220">
        <v>0.33</v>
      </c>
      <c r="J258" s="220">
        <v>5.14</v>
      </c>
      <c r="K258" s="223">
        <v>9.34</v>
      </c>
      <c r="L258" s="196"/>
      <c r="M258" s="289" t="str">
        <f t="shared" si="14"/>
        <v>Poitou-CharentesPoirier</v>
      </c>
      <c r="N258" s="289" t="str">
        <f t="shared" si="15"/>
        <v>Poitou-CharentesPoirierAutres</v>
      </c>
      <c r="P258" s="240" t="s">
        <v>29</v>
      </c>
      <c r="Q258" s="241" t="s">
        <v>159</v>
      </c>
      <c r="R258" s="241" t="s">
        <v>170</v>
      </c>
      <c r="S258" s="220"/>
      <c r="T258" s="220"/>
      <c r="U258" s="220"/>
      <c r="V258" s="223"/>
    </row>
    <row r="259" spans="2:22" x14ac:dyDescent="0.3">
      <c r="B259" t="str">
        <f t="shared" si="12"/>
        <v>Poitou-CharentesPommier</v>
      </c>
      <c r="C259" t="str">
        <f t="shared" si="13"/>
        <v>Poitou-CharentesPommierPommier</v>
      </c>
      <c r="E259" s="230" t="s">
        <v>29</v>
      </c>
      <c r="F259" s="135" t="s">
        <v>161</v>
      </c>
      <c r="G259" s="135" t="s">
        <v>161</v>
      </c>
      <c r="H259" s="220">
        <v>0.12</v>
      </c>
      <c r="I259" s="220">
        <v>0.91</v>
      </c>
      <c r="J259" s="220">
        <v>29.73</v>
      </c>
      <c r="K259" s="223">
        <v>40.08</v>
      </c>
      <c r="L259" s="196"/>
      <c r="M259" s="289" t="str">
        <f t="shared" si="14"/>
        <v>Poitou-CharentesPommier</v>
      </c>
      <c r="N259" s="289" t="str">
        <f t="shared" si="15"/>
        <v>Poitou-CharentesPommierPommier</v>
      </c>
      <c r="P259" s="240" t="s">
        <v>29</v>
      </c>
      <c r="Q259" s="241" t="s">
        <v>161</v>
      </c>
      <c r="R259" s="241" t="s">
        <v>161</v>
      </c>
      <c r="S259" s="220"/>
      <c r="T259" s="220"/>
      <c r="U259" s="220"/>
      <c r="V259" s="223"/>
    </row>
    <row r="260" spans="2:22" ht="15" thickBot="1" x14ac:dyDescent="0.35">
      <c r="B260" t="str">
        <f t="shared" si="12"/>
        <v>Poitou-CharentesPrunier</v>
      </c>
      <c r="C260" t="str">
        <f t="shared" si="13"/>
        <v>Poitou-CharentesPrunierAutres</v>
      </c>
      <c r="E260" s="231" t="s">
        <v>29</v>
      </c>
      <c r="F260" s="232" t="s">
        <v>162</v>
      </c>
      <c r="G260" s="232" t="s">
        <v>170</v>
      </c>
      <c r="H260" s="222">
        <v>0.01</v>
      </c>
      <c r="I260" s="222">
        <v>0.33</v>
      </c>
      <c r="J260" s="222">
        <v>5.14</v>
      </c>
      <c r="K260" s="224">
        <v>9.34</v>
      </c>
      <c r="L260" s="196"/>
      <c r="M260" s="289" t="str">
        <f t="shared" si="14"/>
        <v>Poitou-CharentesPrunier</v>
      </c>
      <c r="N260" s="289" t="str">
        <f t="shared" si="15"/>
        <v>Poitou-CharentesPrunierAutres</v>
      </c>
      <c r="P260" s="242" t="s">
        <v>29</v>
      </c>
      <c r="Q260" s="243" t="s">
        <v>162</v>
      </c>
      <c r="R260" s="243" t="s">
        <v>170</v>
      </c>
      <c r="S260" s="222"/>
      <c r="T260" s="222"/>
      <c r="U260" s="222"/>
      <c r="V260" s="224"/>
    </row>
    <row r="261" spans="2:22" ht="15" thickTop="1" x14ac:dyDescent="0.3">
      <c r="B261" t="str">
        <f t="shared" si="12"/>
        <v>Provence-Alpes-Côte d'AzurAbricotier</v>
      </c>
      <c r="C261" t="str">
        <f t="shared" si="13"/>
        <v>Provence-Alpes-Côte d'AzurAbricotierAbricotier</v>
      </c>
      <c r="E261" s="392" t="s">
        <v>30</v>
      </c>
      <c r="F261" s="135" t="s">
        <v>127</v>
      </c>
      <c r="G261" s="135" t="s">
        <v>127</v>
      </c>
      <c r="H261" s="220">
        <v>0</v>
      </c>
      <c r="I261" s="220">
        <v>0.27</v>
      </c>
      <c r="J261" s="220">
        <v>5.47</v>
      </c>
      <c r="K261" s="223">
        <v>10.54</v>
      </c>
      <c r="L261" s="196"/>
      <c r="M261" s="289" t="str">
        <f t="shared" si="14"/>
        <v>Provence-Alpes-Côte d'AzurAbricotier</v>
      </c>
      <c r="N261" s="289" t="str">
        <f t="shared" si="15"/>
        <v>Provence-Alpes-Côte d'AzurAbricotierAbricotier</v>
      </c>
      <c r="P261" s="240" t="s">
        <v>30</v>
      </c>
      <c r="Q261" s="241" t="s">
        <v>127</v>
      </c>
      <c r="R261" s="241" t="s">
        <v>127</v>
      </c>
      <c r="S261" s="220"/>
      <c r="T261" s="220"/>
      <c r="U261" s="220"/>
      <c r="V261" s="223"/>
    </row>
    <row r="262" spans="2:22" x14ac:dyDescent="0.3">
      <c r="B262" t="str">
        <f t="shared" ref="B262:B282" si="16">E262&amp;F262</f>
        <v>Provence-Alpes-Côte d'AzurAgrumes</v>
      </c>
      <c r="C262" t="str">
        <f t="shared" ref="C262:C282" si="17">E262&amp;F262&amp;G262</f>
        <v>Provence-Alpes-Côte d'AzurAgrumesClémentinier</v>
      </c>
      <c r="E262" s="230" t="s">
        <v>30</v>
      </c>
      <c r="F262" s="135" t="s">
        <v>634</v>
      </c>
      <c r="G262" s="135" t="s">
        <v>135</v>
      </c>
      <c r="H262" s="220">
        <v>0</v>
      </c>
      <c r="I262" s="220">
        <v>0.3</v>
      </c>
      <c r="J262" s="220">
        <v>2</v>
      </c>
      <c r="K262" s="223">
        <v>5</v>
      </c>
      <c r="L262" s="196"/>
      <c r="M262" s="289" t="str">
        <f t="shared" ref="M262:M282" si="18">P262&amp;Q262</f>
        <v>Provence-Alpes-Côte d'AzurAgrumes</v>
      </c>
      <c r="N262" s="289" t="str">
        <f t="shared" ref="N262:N282" si="19">P262&amp;Q262&amp;R262</f>
        <v>Provence-Alpes-Côte d'AzurAgrumesClémentinier</v>
      </c>
      <c r="P262" s="240" t="s">
        <v>30</v>
      </c>
      <c r="Q262" s="241" t="s">
        <v>634</v>
      </c>
      <c r="R262" s="241" t="s">
        <v>135</v>
      </c>
      <c r="S262" s="220"/>
      <c r="T262" s="220"/>
      <c r="U262" s="220"/>
      <c r="V262" s="223"/>
    </row>
    <row r="263" spans="2:22" x14ac:dyDescent="0.3">
      <c r="B263" t="str">
        <f t="shared" si="16"/>
        <v>Provence-Alpes-Côte d'AzurAutres</v>
      </c>
      <c r="C263" t="str">
        <f t="shared" si="17"/>
        <v>Provence-Alpes-Côte d'AzurAutresPrunier</v>
      </c>
      <c r="E263" s="230" t="s">
        <v>30</v>
      </c>
      <c r="F263" s="135" t="s">
        <v>170</v>
      </c>
      <c r="G263" s="135" t="s">
        <v>162</v>
      </c>
      <c r="H263" s="220">
        <v>0</v>
      </c>
      <c r="I263" s="220">
        <v>0.27</v>
      </c>
      <c r="J263" s="220">
        <v>4.9400000000000004</v>
      </c>
      <c r="K263" s="223">
        <v>9.81</v>
      </c>
      <c r="L263" s="196"/>
      <c r="M263" s="289" t="str">
        <f t="shared" si="18"/>
        <v>Provence-Alpes-Côte d'AzurAutres</v>
      </c>
      <c r="N263" s="289" t="str">
        <f t="shared" si="19"/>
        <v>Provence-Alpes-Côte d'AzurAutresPrunier</v>
      </c>
      <c r="P263" s="240" t="s">
        <v>30</v>
      </c>
      <c r="Q263" s="241" t="s">
        <v>170</v>
      </c>
      <c r="R263" s="241" t="s">
        <v>162</v>
      </c>
      <c r="S263" s="220"/>
      <c r="T263" s="220"/>
      <c r="U263" s="220"/>
      <c r="V263" s="223"/>
    </row>
    <row r="264" spans="2:22" x14ac:dyDescent="0.3">
      <c r="B264" t="str">
        <f t="shared" si="16"/>
        <v>Provence-Alpes-Côte d'AzurCerisier</v>
      </c>
      <c r="C264" t="str">
        <f t="shared" si="17"/>
        <v>Provence-Alpes-Côte d'AzurCerisierCerisier</v>
      </c>
      <c r="E264" s="230" t="s">
        <v>30</v>
      </c>
      <c r="F264" s="135" t="s">
        <v>132</v>
      </c>
      <c r="G264" s="135" t="s">
        <v>132</v>
      </c>
      <c r="H264" s="220">
        <v>0</v>
      </c>
      <c r="I264" s="220">
        <v>0.16</v>
      </c>
      <c r="J264" s="220">
        <v>3.77</v>
      </c>
      <c r="K264" s="223">
        <v>7.07</v>
      </c>
      <c r="L264" s="196"/>
      <c r="M264" s="289" t="str">
        <f t="shared" si="18"/>
        <v>Provence-Alpes-Côte d'AzurCerisier</v>
      </c>
      <c r="N264" s="289" t="str">
        <f t="shared" si="19"/>
        <v>Provence-Alpes-Côte d'AzurCerisierCerisier</v>
      </c>
      <c r="P264" s="240" t="s">
        <v>30</v>
      </c>
      <c r="Q264" s="241" t="s">
        <v>132</v>
      </c>
      <c r="R264" s="241" t="s">
        <v>132</v>
      </c>
      <c r="S264" s="220"/>
      <c r="T264" s="220"/>
      <c r="U264" s="220"/>
      <c r="V264" s="223"/>
    </row>
    <row r="265" spans="2:22" x14ac:dyDescent="0.3">
      <c r="B265" t="str">
        <f t="shared" si="16"/>
        <v>Provence-Alpes-Côte d'AzurMirabellier</v>
      </c>
      <c r="C265" t="str">
        <f t="shared" si="17"/>
        <v>Provence-Alpes-Côte d'AzurMirabellierAutres</v>
      </c>
      <c r="E265" s="230" t="s">
        <v>30</v>
      </c>
      <c r="F265" s="135" t="s">
        <v>145</v>
      </c>
      <c r="G265" s="135" t="s">
        <v>170</v>
      </c>
      <c r="H265" s="220">
        <v>0</v>
      </c>
      <c r="I265" s="220">
        <v>0.27</v>
      </c>
      <c r="J265" s="220">
        <v>4.9400000000000004</v>
      </c>
      <c r="K265" s="223">
        <v>9.81</v>
      </c>
      <c r="L265" s="196"/>
      <c r="M265" s="289" t="str">
        <f t="shared" si="18"/>
        <v>Provence-Alpes-Côte d'AzurMirabellier</v>
      </c>
      <c r="N265" s="289" t="str">
        <f t="shared" si="19"/>
        <v>Provence-Alpes-Côte d'AzurMirabellierAutres</v>
      </c>
      <c r="P265" s="240" t="s">
        <v>30</v>
      </c>
      <c r="Q265" s="241" t="s">
        <v>145</v>
      </c>
      <c r="R265" s="241" t="s">
        <v>170</v>
      </c>
      <c r="S265" s="220"/>
      <c r="T265" s="220"/>
      <c r="U265" s="220"/>
      <c r="V265" s="223"/>
    </row>
    <row r="266" spans="2:22" x14ac:dyDescent="0.3">
      <c r="B266" t="str">
        <f t="shared" si="16"/>
        <v>Provence-Alpes-Côte d'AzurNectarinier</v>
      </c>
      <c r="C266" t="str">
        <f t="shared" si="17"/>
        <v>Provence-Alpes-Côte d'AzurNectarinierNectarinier-Pêcher</v>
      </c>
      <c r="E266" s="230" t="s">
        <v>30</v>
      </c>
      <c r="F266" s="135" t="s">
        <v>151</v>
      </c>
      <c r="G266" s="135" t="s">
        <v>635</v>
      </c>
      <c r="H266" s="220">
        <v>0.13</v>
      </c>
      <c r="I266" s="220">
        <v>0.73</v>
      </c>
      <c r="J266" s="220">
        <v>14.32</v>
      </c>
      <c r="K266" s="223">
        <v>21.06</v>
      </c>
      <c r="L266" s="196"/>
      <c r="M266" s="289" t="str">
        <f t="shared" si="18"/>
        <v>Provence-Alpes-Côte d'AzurNectarinier</v>
      </c>
      <c r="N266" s="289" t="str">
        <f t="shared" si="19"/>
        <v>Provence-Alpes-Côte d'AzurNectarinierNectarinier-Pêcher</v>
      </c>
      <c r="P266" s="240" t="s">
        <v>30</v>
      </c>
      <c r="Q266" s="241" t="s">
        <v>151</v>
      </c>
      <c r="R266" s="241" t="s">
        <v>635</v>
      </c>
      <c r="S266" s="220"/>
      <c r="T266" s="220"/>
      <c r="U266" s="220"/>
      <c r="V266" s="223"/>
    </row>
    <row r="267" spans="2:22" x14ac:dyDescent="0.3">
      <c r="B267" t="str">
        <f t="shared" si="16"/>
        <v>Provence-Alpes-Côte d'AzurNoyer</v>
      </c>
      <c r="C267" t="str">
        <f t="shared" si="17"/>
        <v>Provence-Alpes-Côte d'AzurNoyerAutres</v>
      </c>
      <c r="E267" s="230" t="s">
        <v>30</v>
      </c>
      <c r="F267" s="135" t="s">
        <v>154</v>
      </c>
      <c r="G267" s="135" t="s">
        <v>170</v>
      </c>
      <c r="H267" s="220">
        <v>0</v>
      </c>
      <c r="I267" s="220">
        <v>0.27</v>
      </c>
      <c r="J267" s="220">
        <v>4.9400000000000004</v>
      </c>
      <c r="K267" s="223">
        <v>9.81</v>
      </c>
      <c r="L267" s="196"/>
      <c r="M267" s="289" t="str">
        <f t="shared" si="18"/>
        <v>Provence-Alpes-Côte d'AzurNoyer</v>
      </c>
      <c r="N267" s="289" t="str">
        <f t="shared" si="19"/>
        <v>Provence-Alpes-Côte d'AzurNoyerAutres</v>
      </c>
      <c r="P267" s="240" t="s">
        <v>30</v>
      </c>
      <c r="Q267" s="241" t="s">
        <v>154</v>
      </c>
      <c r="R267" s="241" t="s">
        <v>170</v>
      </c>
      <c r="S267" s="220"/>
      <c r="T267" s="220"/>
      <c r="U267" s="220"/>
      <c r="V267" s="223"/>
    </row>
    <row r="268" spans="2:22" x14ac:dyDescent="0.3">
      <c r="B268" t="str">
        <f t="shared" si="16"/>
        <v>Provence-Alpes-Côte d'AzurPêcher</v>
      </c>
      <c r="C268" t="str">
        <f t="shared" si="17"/>
        <v>Provence-Alpes-Côte d'AzurPêcherNectarinier-Pêcher</v>
      </c>
      <c r="E268" s="230" t="s">
        <v>30</v>
      </c>
      <c r="F268" s="135" t="s">
        <v>158</v>
      </c>
      <c r="G268" s="135" t="s">
        <v>635</v>
      </c>
      <c r="H268" s="220">
        <v>0.13</v>
      </c>
      <c r="I268" s="220">
        <v>0.73</v>
      </c>
      <c r="J268" s="220">
        <v>14.32</v>
      </c>
      <c r="K268" s="223">
        <v>21.06</v>
      </c>
      <c r="L268" s="196"/>
      <c r="M268" s="289" t="str">
        <f t="shared" si="18"/>
        <v>Provence-Alpes-Côte d'AzurPêcher</v>
      </c>
      <c r="N268" s="289" t="str">
        <f t="shared" si="19"/>
        <v>Provence-Alpes-Côte d'AzurPêcherNectarinier-Pêcher</v>
      </c>
      <c r="P268" s="240" t="s">
        <v>30</v>
      </c>
      <c r="Q268" s="241" t="s">
        <v>158</v>
      </c>
      <c r="R268" s="241" t="s">
        <v>635</v>
      </c>
      <c r="S268" s="220"/>
      <c r="T268" s="220"/>
      <c r="U268" s="220"/>
      <c r="V268" s="223"/>
    </row>
    <row r="269" spans="2:22" x14ac:dyDescent="0.3">
      <c r="B269" t="str">
        <f t="shared" si="16"/>
        <v>Provence-Alpes-Côte d'AzurPoirier</v>
      </c>
      <c r="C269" t="str">
        <f t="shared" si="17"/>
        <v>Provence-Alpes-Côte d'AzurPoirierAutres</v>
      </c>
      <c r="E269" s="230" t="s">
        <v>30</v>
      </c>
      <c r="F269" s="135" t="s">
        <v>159</v>
      </c>
      <c r="G269" s="135" t="s">
        <v>170</v>
      </c>
      <c r="H269" s="220">
        <v>0</v>
      </c>
      <c r="I269" s="220">
        <v>0.27</v>
      </c>
      <c r="J269" s="220">
        <v>4.9400000000000004</v>
      </c>
      <c r="K269" s="223">
        <v>9.81</v>
      </c>
      <c r="L269" s="196"/>
      <c r="M269" s="289" t="str">
        <f t="shared" si="18"/>
        <v>Provence-Alpes-Côte d'AzurPoirier</v>
      </c>
      <c r="N269" s="289" t="str">
        <f t="shared" si="19"/>
        <v>Provence-Alpes-Côte d'AzurPoirierAutres</v>
      </c>
      <c r="P269" s="240" t="s">
        <v>30</v>
      </c>
      <c r="Q269" s="241" t="s">
        <v>159</v>
      </c>
      <c r="R269" s="241" t="s">
        <v>170</v>
      </c>
      <c r="S269" s="220"/>
      <c r="T269" s="220"/>
      <c r="U269" s="220"/>
      <c r="V269" s="223"/>
    </row>
    <row r="270" spans="2:22" x14ac:dyDescent="0.3">
      <c r="B270" t="str">
        <f t="shared" si="16"/>
        <v>Provence-Alpes-Côte d'AzurPommier</v>
      </c>
      <c r="C270" t="str">
        <f t="shared" si="17"/>
        <v>Provence-Alpes-Côte d'AzurPommierPommier</v>
      </c>
      <c r="E270" s="230" t="s">
        <v>30</v>
      </c>
      <c r="F270" s="135" t="s">
        <v>161</v>
      </c>
      <c r="G270" s="135" t="s">
        <v>161</v>
      </c>
      <c r="H270" s="220">
        <v>0</v>
      </c>
      <c r="I270" s="220">
        <v>0.31</v>
      </c>
      <c r="J270" s="220">
        <v>15.05</v>
      </c>
      <c r="K270" s="223">
        <v>25.75</v>
      </c>
      <c r="L270" s="196"/>
      <c r="M270" s="289" t="str">
        <f t="shared" si="18"/>
        <v>Provence-Alpes-Côte d'AzurPommier</v>
      </c>
      <c r="N270" s="289" t="str">
        <f t="shared" si="19"/>
        <v>Provence-Alpes-Côte d'AzurPommierPommier</v>
      </c>
      <c r="P270" s="240" t="s">
        <v>30</v>
      </c>
      <c r="Q270" s="241" t="s">
        <v>161</v>
      </c>
      <c r="R270" s="241" t="s">
        <v>161</v>
      </c>
      <c r="S270" s="220"/>
      <c r="T270" s="220"/>
      <c r="U270" s="220"/>
      <c r="V270" s="223"/>
    </row>
    <row r="271" spans="2:22" ht="15" thickBot="1" x14ac:dyDescent="0.35">
      <c r="B271" t="str">
        <f t="shared" si="16"/>
        <v>Provence-Alpes-Côte d'AzurPrunier</v>
      </c>
      <c r="C271" t="str">
        <f t="shared" si="17"/>
        <v>Provence-Alpes-Côte d'AzurPrunierPrunier</v>
      </c>
      <c r="E271" s="231" t="s">
        <v>30</v>
      </c>
      <c r="F271" s="232" t="s">
        <v>162</v>
      </c>
      <c r="G271" s="232" t="s">
        <v>162</v>
      </c>
      <c r="H271" s="222">
        <v>0</v>
      </c>
      <c r="I271" s="222">
        <v>0.27</v>
      </c>
      <c r="J271" s="222">
        <v>4.9400000000000004</v>
      </c>
      <c r="K271" s="224">
        <v>9.81</v>
      </c>
      <c r="L271" s="196"/>
      <c r="M271" s="289" t="str">
        <f t="shared" si="18"/>
        <v>Provence-Alpes-Côte d'AzurPrunier</v>
      </c>
      <c r="N271" s="289" t="str">
        <f t="shared" si="19"/>
        <v>Provence-Alpes-Côte d'AzurPrunierPrunier</v>
      </c>
      <c r="P271" s="242" t="s">
        <v>30</v>
      </c>
      <c r="Q271" s="243" t="s">
        <v>162</v>
      </c>
      <c r="R271" s="243" t="s">
        <v>162</v>
      </c>
      <c r="S271" s="222"/>
      <c r="T271" s="222"/>
      <c r="U271" s="222"/>
      <c r="V271" s="224"/>
    </row>
    <row r="272" spans="2:22" ht="15" thickTop="1" x14ac:dyDescent="0.3">
      <c r="B272" t="str">
        <f t="shared" si="16"/>
        <v>Rhône-AlpesAbricotier</v>
      </c>
      <c r="C272" t="str">
        <f t="shared" si="17"/>
        <v>Rhône-AlpesAbricotierAbricotier</v>
      </c>
      <c r="E272" s="230" t="s">
        <v>31</v>
      </c>
      <c r="F272" s="135" t="s">
        <v>127</v>
      </c>
      <c r="G272" s="135" t="s">
        <v>127</v>
      </c>
      <c r="H272" s="220">
        <v>0.13</v>
      </c>
      <c r="I272" s="220">
        <v>0.88</v>
      </c>
      <c r="J272" s="220">
        <v>6.19</v>
      </c>
      <c r="K272" s="223">
        <v>11.56</v>
      </c>
      <c r="L272" s="196"/>
      <c r="M272" s="289" t="str">
        <f t="shared" si="18"/>
        <v>Rhône-AlpesAbricotier</v>
      </c>
      <c r="N272" s="289" t="str">
        <f t="shared" si="19"/>
        <v>Rhône-AlpesAbricotierAbricotier</v>
      </c>
      <c r="P272" s="240" t="s">
        <v>31</v>
      </c>
      <c r="Q272" s="241" t="s">
        <v>127</v>
      </c>
      <c r="R272" s="241" t="s">
        <v>127</v>
      </c>
      <c r="S272" s="220"/>
      <c r="T272" s="220"/>
      <c r="U272" s="220"/>
      <c r="V272" s="223"/>
    </row>
    <row r="273" spans="2:22" x14ac:dyDescent="0.3">
      <c r="B273" t="str">
        <f t="shared" si="16"/>
        <v>Rhône-AlpesAgrumes</v>
      </c>
      <c r="C273" t="str">
        <f t="shared" si="17"/>
        <v>Rhône-AlpesAgrumesClémentinier</v>
      </c>
      <c r="E273" s="230" t="s">
        <v>31</v>
      </c>
      <c r="F273" s="135" t="s">
        <v>634</v>
      </c>
      <c r="G273" s="135" t="s">
        <v>135</v>
      </c>
      <c r="H273" s="220">
        <v>0</v>
      </c>
      <c r="I273" s="220">
        <v>0.3</v>
      </c>
      <c r="J273" s="220">
        <v>2</v>
      </c>
      <c r="K273" s="223">
        <v>5</v>
      </c>
      <c r="L273" s="196"/>
      <c r="M273" s="289" t="str">
        <f t="shared" si="18"/>
        <v>Rhône-AlpesAgrumes</v>
      </c>
      <c r="N273" s="289" t="str">
        <f t="shared" si="19"/>
        <v>Rhône-AlpesAgrumesClémentinier</v>
      </c>
      <c r="P273" s="240" t="s">
        <v>31</v>
      </c>
      <c r="Q273" s="241" t="s">
        <v>634</v>
      </c>
      <c r="R273" s="241" t="s">
        <v>135</v>
      </c>
      <c r="S273" s="220"/>
      <c r="T273" s="220"/>
      <c r="U273" s="220"/>
      <c r="V273" s="223"/>
    </row>
    <row r="274" spans="2:22" x14ac:dyDescent="0.3">
      <c r="B274" t="str">
        <f t="shared" si="16"/>
        <v>Rhône-AlpesAutres</v>
      </c>
      <c r="C274" t="str">
        <f t="shared" si="17"/>
        <v>Rhône-AlpesAutresPrunier</v>
      </c>
      <c r="E274" s="230" t="s">
        <v>31</v>
      </c>
      <c r="F274" s="135" t="s">
        <v>170</v>
      </c>
      <c r="G274" s="135" t="s">
        <v>162</v>
      </c>
      <c r="H274" s="220">
        <v>0.02</v>
      </c>
      <c r="I274" s="220">
        <v>0.52</v>
      </c>
      <c r="J274" s="220">
        <v>4.6399999999999997</v>
      </c>
      <c r="K274" s="223">
        <v>8.34</v>
      </c>
      <c r="L274" s="196"/>
      <c r="M274" s="289" t="str">
        <f t="shared" si="18"/>
        <v>Rhône-AlpesAutres</v>
      </c>
      <c r="N274" s="289" t="str">
        <f t="shared" si="19"/>
        <v>Rhône-AlpesAutresPrunier</v>
      </c>
      <c r="P274" s="240" t="s">
        <v>31</v>
      </c>
      <c r="Q274" s="241" t="s">
        <v>170</v>
      </c>
      <c r="R274" s="241" t="s">
        <v>162</v>
      </c>
      <c r="S274" s="220"/>
      <c r="T274" s="220"/>
      <c r="U274" s="220"/>
      <c r="V274" s="223"/>
    </row>
    <row r="275" spans="2:22" x14ac:dyDescent="0.3">
      <c r="B275" t="str">
        <f t="shared" si="16"/>
        <v>Rhône-AlpesCerisier</v>
      </c>
      <c r="C275" t="str">
        <f t="shared" si="17"/>
        <v>Rhône-AlpesCerisierCerisier</v>
      </c>
      <c r="E275" s="230" t="s">
        <v>31</v>
      </c>
      <c r="F275" s="135" t="s">
        <v>132</v>
      </c>
      <c r="G275" s="135" t="s">
        <v>132</v>
      </c>
      <c r="H275" s="220">
        <v>0.04</v>
      </c>
      <c r="I275" s="220">
        <v>0.62</v>
      </c>
      <c r="J275" s="220">
        <v>4.68</v>
      </c>
      <c r="K275" s="223">
        <v>8.69</v>
      </c>
      <c r="L275" s="196"/>
      <c r="M275" s="289" t="str">
        <f t="shared" si="18"/>
        <v>Rhône-AlpesCerisier</v>
      </c>
      <c r="N275" s="289" t="str">
        <f t="shared" si="19"/>
        <v>Rhône-AlpesCerisierCerisier</v>
      </c>
      <c r="P275" s="240" t="s">
        <v>31</v>
      </c>
      <c r="Q275" s="241" t="s">
        <v>132</v>
      </c>
      <c r="R275" s="241" t="s">
        <v>132</v>
      </c>
      <c r="S275" s="220"/>
      <c r="T275" s="220"/>
      <c r="U275" s="220"/>
      <c r="V275" s="223"/>
    </row>
    <row r="276" spans="2:22" x14ac:dyDescent="0.3">
      <c r="B276" t="str">
        <f t="shared" si="16"/>
        <v>Rhône-AlpesMirabellier</v>
      </c>
      <c r="C276" t="str">
        <f t="shared" si="17"/>
        <v>Rhône-AlpesMirabellierAutres</v>
      </c>
      <c r="E276" s="230" t="s">
        <v>31</v>
      </c>
      <c r="F276" s="135" t="s">
        <v>145</v>
      </c>
      <c r="G276" s="135" t="s">
        <v>170</v>
      </c>
      <c r="H276" s="220">
        <v>0.02</v>
      </c>
      <c r="I276" s="220">
        <v>0.52</v>
      </c>
      <c r="J276" s="220">
        <v>4.6399999999999997</v>
      </c>
      <c r="K276" s="223">
        <v>8.34</v>
      </c>
      <c r="L276" s="196"/>
      <c r="M276" s="289" t="str">
        <f t="shared" si="18"/>
        <v>Rhône-AlpesMirabellier</v>
      </c>
      <c r="N276" s="289" t="str">
        <f t="shared" si="19"/>
        <v>Rhône-AlpesMirabellierAutres</v>
      </c>
      <c r="P276" s="240" t="s">
        <v>31</v>
      </c>
      <c r="Q276" s="241" t="s">
        <v>145</v>
      </c>
      <c r="R276" s="241" t="s">
        <v>170</v>
      </c>
      <c r="S276" s="220"/>
      <c r="T276" s="220"/>
      <c r="U276" s="220"/>
      <c r="V276" s="223"/>
    </row>
    <row r="277" spans="2:22" x14ac:dyDescent="0.3">
      <c r="B277" t="str">
        <f t="shared" si="16"/>
        <v>Rhône-AlpesNectarinier</v>
      </c>
      <c r="C277" t="str">
        <f t="shared" si="17"/>
        <v>Rhône-AlpesNectarinierNectarinier-Pêcher</v>
      </c>
      <c r="E277" s="230" t="s">
        <v>31</v>
      </c>
      <c r="F277" s="135" t="s">
        <v>151</v>
      </c>
      <c r="G277" s="135" t="s">
        <v>635</v>
      </c>
      <c r="H277" s="220">
        <v>0.24</v>
      </c>
      <c r="I277" s="220">
        <v>1.1599999999999999</v>
      </c>
      <c r="J277" s="220">
        <v>10.97</v>
      </c>
      <c r="K277" s="223">
        <v>21.59</v>
      </c>
      <c r="L277" s="196"/>
      <c r="M277" s="289" t="str">
        <f t="shared" si="18"/>
        <v>Rhône-AlpesNectarinier</v>
      </c>
      <c r="N277" s="289" t="str">
        <f t="shared" si="19"/>
        <v>Rhône-AlpesNectarinierNectarinier-Pêcher</v>
      </c>
      <c r="P277" s="240" t="s">
        <v>31</v>
      </c>
      <c r="Q277" s="241" t="s">
        <v>151</v>
      </c>
      <c r="R277" s="241" t="s">
        <v>635</v>
      </c>
      <c r="S277" s="220"/>
      <c r="T277" s="220"/>
      <c r="U277" s="220"/>
      <c r="V277" s="223"/>
    </row>
    <row r="278" spans="2:22" x14ac:dyDescent="0.3">
      <c r="B278" t="str">
        <f t="shared" si="16"/>
        <v>Rhône-AlpesNoyer</v>
      </c>
      <c r="C278" t="str">
        <f t="shared" si="17"/>
        <v>Rhône-AlpesNoyerAutres</v>
      </c>
      <c r="E278" s="230" t="s">
        <v>31</v>
      </c>
      <c r="F278" s="135" t="s">
        <v>154</v>
      </c>
      <c r="G278" s="135" t="s">
        <v>170</v>
      </c>
      <c r="H278" s="220">
        <v>0.02</v>
      </c>
      <c r="I278" s="220">
        <v>0.52</v>
      </c>
      <c r="J278" s="220">
        <v>4.6399999999999997</v>
      </c>
      <c r="K278" s="223">
        <v>8.34</v>
      </c>
      <c r="L278" s="196"/>
      <c r="M278" s="289" t="str">
        <f t="shared" si="18"/>
        <v>Rhône-AlpesNoyer</v>
      </c>
      <c r="N278" s="289" t="str">
        <f t="shared" si="19"/>
        <v>Rhône-AlpesNoyerAutres</v>
      </c>
      <c r="P278" s="240" t="s">
        <v>31</v>
      </c>
      <c r="Q278" s="241" t="s">
        <v>154</v>
      </c>
      <c r="R278" s="241" t="s">
        <v>170</v>
      </c>
      <c r="S278" s="220"/>
      <c r="T278" s="220"/>
      <c r="U278" s="220"/>
      <c r="V278" s="223"/>
    </row>
    <row r="279" spans="2:22" x14ac:dyDescent="0.3">
      <c r="B279" t="str">
        <f t="shared" si="16"/>
        <v>Rhône-AlpesPêcher</v>
      </c>
      <c r="C279" t="str">
        <f t="shared" si="17"/>
        <v>Rhône-AlpesPêcherNectarinier-Pêcher</v>
      </c>
      <c r="E279" s="230" t="s">
        <v>31</v>
      </c>
      <c r="F279" s="135" t="s">
        <v>158</v>
      </c>
      <c r="G279" s="135" t="s">
        <v>635</v>
      </c>
      <c r="H279" s="220">
        <v>0.24</v>
      </c>
      <c r="I279" s="220">
        <v>1.1599999999999999</v>
      </c>
      <c r="J279" s="220">
        <v>10.97</v>
      </c>
      <c r="K279" s="223">
        <v>21.59</v>
      </c>
      <c r="L279" s="196"/>
      <c r="M279" s="289" t="str">
        <f t="shared" si="18"/>
        <v>Rhône-AlpesPêcher</v>
      </c>
      <c r="N279" s="289" t="str">
        <f t="shared" si="19"/>
        <v>Rhône-AlpesPêcherNectarinier-Pêcher</v>
      </c>
      <c r="P279" s="240" t="s">
        <v>31</v>
      </c>
      <c r="Q279" s="241" t="s">
        <v>158</v>
      </c>
      <c r="R279" s="241" t="s">
        <v>635</v>
      </c>
      <c r="S279" s="220"/>
      <c r="T279" s="220"/>
      <c r="U279" s="220"/>
      <c r="V279" s="223"/>
    </row>
    <row r="280" spans="2:22" x14ac:dyDescent="0.3">
      <c r="B280" t="str">
        <f t="shared" si="16"/>
        <v>Rhône-AlpesPoirier</v>
      </c>
      <c r="C280" t="str">
        <f t="shared" si="17"/>
        <v>Rhône-AlpesPoirierAutres</v>
      </c>
      <c r="E280" s="230" t="s">
        <v>31</v>
      </c>
      <c r="F280" s="135" t="s">
        <v>159</v>
      </c>
      <c r="G280" s="135" t="s">
        <v>170</v>
      </c>
      <c r="H280" s="220">
        <v>0.02</v>
      </c>
      <c r="I280" s="220">
        <v>0.52</v>
      </c>
      <c r="J280" s="220">
        <v>4.6399999999999997</v>
      </c>
      <c r="K280" s="223">
        <v>8.34</v>
      </c>
      <c r="L280" s="196"/>
      <c r="M280" s="289" t="str">
        <f t="shared" si="18"/>
        <v>Rhône-AlpesPoirier</v>
      </c>
      <c r="N280" s="289" t="str">
        <f t="shared" si="19"/>
        <v>Rhône-AlpesPoirierAutres</v>
      </c>
      <c r="P280" s="240" t="s">
        <v>31</v>
      </c>
      <c r="Q280" s="241" t="s">
        <v>159</v>
      </c>
      <c r="R280" s="241" t="s">
        <v>170</v>
      </c>
      <c r="S280" s="220"/>
      <c r="T280" s="220"/>
      <c r="U280" s="220"/>
      <c r="V280" s="223"/>
    </row>
    <row r="281" spans="2:22" x14ac:dyDescent="0.3">
      <c r="B281" t="str">
        <f t="shared" si="16"/>
        <v>Rhône-AlpesPommier</v>
      </c>
      <c r="C281" t="str">
        <f t="shared" si="17"/>
        <v>Rhône-AlpesPommierPommier</v>
      </c>
      <c r="E281" s="230" t="s">
        <v>31</v>
      </c>
      <c r="F281" s="135" t="s">
        <v>161</v>
      </c>
      <c r="G281" s="135" t="s">
        <v>161</v>
      </c>
      <c r="H281" s="220">
        <v>0</v>
      </c>
      <c r="I281" s="220">
        <v>0.53</v>
      </c>
      <c r="J281" s="220">
        <v>12.52</v>
      </c>
      <c r="K281" s="223">
        <v>26.16</v>
      </c>
      <c r="L281" s="196"/>
      <c r="M281" s="289" t="str">
        <f t="shared" si="18"/>
        <v>Rhône-AlpesPommier</v>
      </c>
      <c r="N281" s="289" t="str">
        <f t="shared" si="19"/>
        <v>Rhône-AlpesPommierPommier</v>
      </c>
      <c r="P281" s="240" t="s">
        <v>31</v>
      </c>
      <c r="Q281" s="241" t="s">
        <v>161</v>
      </c>
      <c r="R281" s="241" t="s">
        <v>161</v>
      </c>
      <c r="S281" s="220"/>
      <c r="T281" s="220"/>
      <c r="U281" s="220"/>
      <c r="V281" s="223"/>
    </row>
    <row r="282" spans="2:22" ht="15" thickBot="1" x14ac:dyDescent="0.35">
      <c r="B282" t="str">
        <f t="shared" si="16"/>
        <v>Rhône-AlpesPrunier</v>
      </c>
      <c r="C282" t="str">
        <f t="shared" si="17"/>
        <v>Rhône-AlpesPrunierPrunier</v>
      </c>
      <c r="E282" s="233" t="s">
        <v>31</v>
      </c>
      <c r="F282" s="234" t="s">
        <v>162</v>
      </c>
      <c r="G282" s="234" t="s">
        <v>162</v>
      </c>
      <c r="H282" s="226">
        <v>0.02</v>
      </c>
      <c r="I282" s="226">
        <v>0.52</v>
      </c>
      <c r="J282" s="226">
        <v>4.6399999999999997</v>
      </c>
      <c r="K282" s="227">
        <v>8.34</v>
      </c>
      <c r="L282" s="196"/>
      <c r="M282" s="289" t="str">
        <f t="shared" si="18"/>
        <v>Rhône-AlpesPrunier</v>
      </c>
      <c r="N282" s="289" t="str">
        <f t="shared" si="19"/>
        <v>Rhône-AlpesPrunierPrunier</v>
      </c>
      <c r="P282" s="244" t="s">
        <v>31</v>
      </c>
      <c r="Q282" s="245" t="s">
        <v>162</v>
      </c>
      <c r="R282" s="245" t="s">
        <v>162</v>
      </c>
      <c r="S282" s="226"/>
      <c r="T282" s="226"/>
      <c r="U282" s="226"/>
      <c r="V282" s="227"/>
    </row>
    <row r="284" spans="2:22" x14ac:dyDescent="0.3">
      <c r="E284" s="1079" t="s">
        <v>2558</v>
      </c>
      <c r="F284" s="1080"/>
      <c r="G284" s="1080"/>
      <c r="H284" s="1080"/>
      <c r="I284" s="1080"/>
      <c r="J284" s="1080"/>
      <c r="K284" s="1081"/>
      <c r="P284" s="1079" t="s">
        <v>2542</v>
      </c>
      <c r="Q284" s="1080"/>
      <c r="R284" s="1080"/>
      <c r="S284" s="1080"/>
      <c r="T284" s="1080"/>
      <c r="U284" s="1080"/>
      <c r="V284" s="1081"/>
    </row>
    <row r="285" spans="2:22" x14ac:dyDescent="0.3">
      <c r="E285" s="1079"/>
      <c r="F285" s="1080"/>
      <c r="G285" s="1080"/>
      <c r="H285" s="1080"/>
      <c r="I285" s="1080"/>
      <c r="J285" s="1080"/>
      <c r="K285" s="1081"/>
      <c r="P285" s="1079"/>
      <c r="Q285" s="1080"/>
      <c r="R285" s="1080"/>
      <c r="S285" s="1080"/>
      <c r="T285" s="1080"/>
      <c r="U285" s="1080"/>
      <c r="V285" s="1081"/>
    </row>
    <row r="286" spans="2:22" x14ac:dyDescent="0.3">
      <c r="E286" s="1079"/>
      <c r="F286" s="1080"/>
      <c r="G286" s="1080"/>
      <c r="H286" s="1080"/>
      <c r="I286" s="1080"/>
      <c r="J286" s="1080"/>
      <c r="K286" s="1081"/>
      <c r="P286" s="1079"/>
      <c r="Q286" s="1080"/>
      <c r="R286" s="1080"/>
      <c r="S286" s="1080"/>
      <c r="T286" s="1080"/>
      <c r="U286" s="1080"/>
      <c r="V286" s="1081"/>
    </row>
    <row r="287" spans="2:22" ht="15" customHeight="1" x14ac:dyDescent="0.3">
      <c r="E287" s="1079" t="s">
        <v>2559</v>
      </c>
      <c r="F287" s="1080"/>
      <c r="G287" s="1080"/>
      <c r="H287" s="1080"/>
      <c r="I287" s="1080"/>
      <c r="J287" s="1080"/>
      <c r="K287" s="1081"/>
      <c r="P287" s="1079"/>
      <c r="Q287" s="1080"/>
      <c r="R287" s="1080"/>
      <c r="S287" s="1080"/>
      <c r="T287" s="1080"/>
      <c r="U287" s="1080"/>
      <c r="V287" s="1081"/>
    </row>
    <row r="288" spans="2:22" x14ac:dyDescent="0.3">
      <c r="E288" s="1079"/>
      <c r="F288" s="1080"/>
      <c r="G288" s="1080"/>
      <c r="H288" s="1080"/>
      <c r="I288" s="1080"/>
      <c r="J288" s="1080"/>
      <c r="K288" s="1081"/>
      <c r="P288" s="1079"/>
      <c r="Q288" s="1080"/>
      <c r="R288" s="1080"/>
      <c r="S288" s="1080"/>
      <c r="T288" s="1080"/>
      <c r="U288" s="1080"/>
      <c r="V288" s="1081"/>
    </row>
    <row r="289" spans="5:22" x14ac:dyDescent="0.3">
      <c r="E289" s="1079"/>
      <c r="F289" s="1080"/>
      <c r="G289" s="1080"/>
      <c r="H289" s="1080"/>
      <c r="I289" s="1080"/>
      <c r="J289" s="1080"/>
      <c r="K289" s="1081"/>
      <c r="P289" s="1079"/>
      <c r="Q289" s="1080"/>
      <c r="R289" s="1080"/>
      <c r="S289" s="1080"/>
      <c r="T289" s="1080"/>
      <c r="U289" s="1080"/>
      <c r="V289" s="1081"/>
    </row>
    <row r="290" spans="5:22" x14ac:dyDescent="0.3">
      <c r="E290" s="1079"/>
      <c r="F290" s="1080"/>
      <c r="G290" s="1080"/>
      <c r="H290" s="1080"/>
      <c r="I290" s="1080"/>
      <c r="J290" s="1080"/>
      <c r="K290" s="1081"/>
      <c r="P290" s="1079"/>
      <c r="Q290" s="1080"/>
      <c r="R290" s="1080"/>
      <c r="S290" s="1080"/>
      <c r="T290" s="1080"/>
      <c r="U290" s="1080"/>
      <c r="V290" s="1081"/>
    </row>
    <row r="291" spans="5:22" x14ac:dyDescent="0.3">
      <c r="E291" s="1079"/>
      <c r="F291" s="1080"/>
      <c r="G291" s="1080"/>
      <c r="H291" s="1080"/>
      <c r="I291" s="1080"/>
      <c r="J291" s="1080"/>
      <c r="K291" s="1081"/>
      <c r="P291" s="1079"/>
      <c r="Q291" s="1080"/>
      <c r="R291" s="1080"/>
      <c r="S291" s="1080"/>
      <c r="T291" s="1080"/>
      <c r="U291" s="1080"/>
      <c r="V291" s="1081"/>
    </row>
    <row r="292" spans="5:22" x14ac:dyDescent="0.3">
      <c r="E292" s="1079" t="s">
        <v>2560</v>
      </c>
      <c r="F292" s="1080"/>
      <c r="G292" s="1080"/>
      <c r="H292" s="1080"/>
      <c r="I292" s="1080"/>
      <c r="J292" s="1080"/>
      <c r="K292" s="1081"/>
      <c r="P292" s="1079"/>
      <c r="Q292" s="1080"/>
      <c r="R292" s="1080"/>
      <c r="S292" s="1080"/>
      <c r="T292" s="1080"/>
      <c r="U292" s="1080"/>
      <c r="V292" s="1081"/>
    </row>
    <row r="293" spans="5:22" x14ac:dyDescent="0.3">
      <c r="E293" s="1079"/>
      <c r="F293" s="1080"/>
      <c r="G293" s="1080"/>
      <c r="H293" s="1080"/>
      <c r="I293" s="1080"/>
      <c r="J293" s="1080"/>
      <c r="K293" s="1081"/>
      <c r="P293" s="1079"/>
      <c r="Q293" s="1080"/>
      <c r="R293" s="1080"/>
      <c r="S293" s="1080"/>
      <c r="T293" s="1080"/>
      <c r="U293" s="1080"/>
      <c r="V293" s="1081"/>
    </row>
    <row r="294" spans="5:22" x14ac:dyDescent="0.3">
      <c r="E294" s="1079"/>
      <c r="F294" s="1080"/>
      <c r="G294" s="1080"/>
      <c r="H294" s="1080"/>
      <c r="I294" s="1080"/>
      <c r="J294" s="1080"/>
      <c r="K294" s="1081"/>
      <c r="P294" s="1079"/>
      <c r="Q294" s="1080"/>
      <c r="R294" s="1080"/>
      <c r="S294" s="1080"/>
      <c r="T294" s="1080"/>
      <c r="U294" s="1080"/>
      <c r="V294" s="1081"/>
    </row>
    <row r="295" spans="5:22" x14ac:dyDescent="0.3">
      <c r="E295" s="1079"/>
      <c r="F295" s="1080"/>
      <c r="G295" s="1080"/>
      <c r="H295" s="1080"/>
      <c r="I295" s="1080"/>
      <c r="J295" s="1080"/>
      <c r="K295" s="1081"/>
      <c r="P295" s="1079"/>
      <c r="Q295" s="1080"/>
      <c r="R295" s="1080"/>
      <c r="S295" s="1080"/>
      <c r="T295" s="1080"/>
      <c r="U295" s="1080"/>
      <c r="V295" s="1081"/>
    </row>
    <row r="296" spans="5:22" x14ac:dyDescent="0.3">
      <c r="E296" s="1079"/>
      <c r="F296" s="1080"/>
      <c r="G296" s="1080"/>
      <c r="H296" s="1080"/>
      <c r="I296" s="1080"/>
      <c r="J296" s="1080"/>
      <c r="K296" s="1081"/>
      <c r="P296" s="1079"/>
      <c r="Q296" s="1080"/>
      <c r="R296" s="1080"/>
      <c r="S296" s="1080"/>
      <c r="T296" s="1080"/>
      <c r="U296" s="1080"/>
      <c r="V296" s="1081"/>
    </row>
    <row r="297" spans="5:22" x14ac:dyDescent="0.3">
      <c r="E297" s="1079"/>
      <c r="F297" s="1080"/>
      <c r="G297" s="1080"/>
      <c r="H297" s="1080"/>
      <c r="I297" s="1080"/>
      <c r="J297" s="1080"/>
      <c r="K297" s="1081"/>
      <c r="P297" s="1079"/>
      <c r="Q297" s="1080"/>
      <c r="R297" s="1080"/>
      <c r="S297" s="1080"/>
      <c r="T297" s="1080"/>
      <c r="U297" s="1080"/>
      <c r="V297" s="1081"/>
    </row>
    <row r="298" spans="5:22" x14ac:dyDescent="0.3">
      <c r="E298" s="1079"/>
      <c r="F298" s="1080"/>
      <c r="G298" s="1080"/>
      <c r="H298" s="1080"/>
      <c r="I298" s="1080"/>
      <c r="J298" s="1080"/>
      <c r="K298" s="1081"/>
      <c r="P298" s="1079"/>
      <c r="Q298" s="1080"/>
      <c r="R298" s="1080"/>
      <c r="S298" s="1080"/>
      <c r="T298" s="1080"/>
      <c r="U298" s="1080"/>
      <c r="V298" s="1081"/>
    </row>
    <row r="299" spans="5:22" x14ac:dyDescent="0.3">
      <c r="E299" s="1079"/>
      <c r="F299" s="1080"/>
      <c r="G299" s="1080"/>
      <c r="H299" s="1080"/>
      <c r="I299" s="1080"/>
      <c r="J299" s="1080"/>
      <c r="K299" s="1081"/>
      <c r="P299" s="1079"/>
      <c r="Q299" s="1080"/>
      <c r="R299" s="1080"/>
      <c r="S299" s="1080"/>
      <c r="T299" s="1080"/>
      <c r="U299" s="1080"/>
      <c r="V299" s="1081"/>
    </row>
    <row r="300" spans="5:22" x14ac:dyDescent="0.3">
      <c r="E300" s="1079"/>
      <c r="F300" s="1080"/>
      <c r="G300" s="1080"/>
      <c r="H300" s="1080"/>
      <c r="I300" s="1080"/>
      <c r="J300" s="1080"/>
      <c r="K300" s="1081"/>
      <c r="P300" s="1079"/>
      <c r="Q300" s="1080"/>
      <c r="R300" s="1080"/>
      <c r="S300" s="1080"/>
      <c r="T300" s="1080"/>
      <c r="U300" s="1080"/>
      <c r="V300" s="1081"/>
    </row>
    <row r="301" spans="5:22" x14ac:dyDescent="0.3">
      <c r="E301" s="1079"/>
      <c r="F301" s="1080"/>
      <c r="G301" s="1080"/>
      <c r="H301" s="1080"/>
      <c r="I301" s="1080"/>
      <c r="J301" s="1080"/>
      <c r="K301" s="1081"/>
      <c r="P301" s="1079"/>
      <c r="Q301" s="1080"/>
      <c r="R301" s="1080"/>
      <c r="S301" s="1080"/>
      <c r="T301" s="1080"/>
      <c r="U301" s="1080"/>
      <c r="V301" s="1081"/>
    </row>
    <row r="302" spans="5:22" x14ac:dyDescent="0.3">
      <c r="E302" s="1079"/>
      <c r="F302" s="1080"/>
      <c r="G302" s="1080"/>
      <c r="H302" s="1080"/>
      <c r="I302" s="1080"/>
      <c r="J302" s="1080"/>
      <c r="K302" s="1081"/>
      <c r="P302" s="1079"/>
      <c r="Q302" s="1080"/>
      <c r="R302" s="1080"/>
      <c r="S302" s="1080"/>
      <c r="T302" s="1080"/>
      <c r="U302" s="1080"/>
      <c r="V302" s="1081"/>
    </row>
    <row r="303" spans="5:22" x14ac:dyDescent="0.3">
      <c r="E303" s="1079"/>
      <c r="F303" s="1080"/>
      <c r="G303" s="1080"/>
      <c r="H303" s="1080"/>
      <c r="I303" s="1080"/>
      <c r="J303" s="1080"/>
      <c r="K303" s="1081"/>
      <c r="P303" s="1079"/>
      <c r="Q303" s="1080"/>
      <c r="R303" s="1080"/>
      <c r="S303" s="1080"/>
      <c r="T303" s="1080"/>
      <c r="U303" s="1080"/>
      <c r="V303" s="1081"/>
    </row>
    <row r="304" spans="5:22" x14ac:dyDescent="0.3">
      <c r="E304" s="1079"/>
      <c r="F304" s="1080"/>
      <c r="G304" s="1080"/>
      <c r="H304" s="1080"/>
      <c r="I304" s="1080"/>
      <c r="J304" s="1080"/>
      <c r="K304" s="1081"/>
      <c r="P304" s="1079"/>
      <c r="Q304" s="1080"/>
      <c r="R304" s="1080"/>
      <c r="S304" s="1080"/>
      <c r="T304" s="1080"/>
      <c r="U304" s="1080"/>
      <c r="V304" s="1081"/>
    </row>
    <row r="305" spans="5:22" x14ac:dyDescent="0.3">
      <c r="E305" s="1079"/>
      <c r="F305" s="1080"/>
      <c r="G305" s="1080"/>
      <c r="H305" s="1080"/>
      <c r="I305" s="1080"/>
      <c r="J305" s="1080"/>
      <c r="K305" s="1081"/>
      <c r="P305" s="1079"/>
      <c r="Q305" s="1080"/>
      <c r="R305" s="1080"/>
      <c r="S305" s="1080"/>
      <c r="T305" s="1080"/>
      <c r="U305" s="1080"/>
      <c r="V305" s="1081"/>
    </row>
    <row r="306" spans="5:22" x14ac:dyDescent="0.3">
      <c r="E306" s="1079"/>
      <c r="F306" s="1080"/>
      <c r="G306" s="1080"/>
      <c r="H306" s="1080"/>
      <c r="I306" s="1080"/>
      <c r="J306" s="1080"/>
      <c r="K306" s="1081"/>
      <c r="P306" s="1079"/>
      <c r="Q306" s="1080"/>
      <c r="R306" s="1080"/>
      <c r="S306" s="1080"/>
      <c r="T306" s="1080"/>
      <c r="U306" s="1080"/>
      <c r="V306" s="1081"/>
    </row>
  </sheetData>
  <sheetProtection algorithmName="SHA-512" hashValue="klDnq4mPM3gBVY5K38hDSWaEQt32zE5C4zelTkDKfaGOoGZLmH6BJB/gTXicWuhKegFAJySghNoLCokD+gjW8w==" saltValue="aSFZtjR52UnH7nTApNfjMw==" spinCount="100000" sheet="1" objects="1" scenarios="1"/>
  <mergeCells count="18">
    <mergeCell ref="E284:K286"/>
    <mergeCell ref="E287:K291"/>
    <mergeCell ref="E292:K306"/>
    <mergeCell ref="J3:K3"/>
    <mergeCell ref="E2:K2"/>
    <mergeCell ref="G3:G4"/>
    <mergeCell ref="F3:F4"/>
    <mergeCell ref="E3:E4"/>
    <mergeCell ref="H3:I3"/>
    <mergeCell ref="P284:V286"/>
    <mergeCell ref="P287:V291"/>
    <mergeCell ref="P292:V306"/>
    <mergeCell ref="P2:V2"/>
    <mergeCell ref="P3:P4"/>
    <mergeCell ref="Q3:Q4"/>
    <mergeCell ref="R3:R4"/>
    <mergeCell ref="S3:T3"/>
    <mergeCell ref="U3:V3"/>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5">
    <tabColor rgb="FFFF0000"/>
  </sheetPr>
  <dimension ref="B1:N51"/>
  <sheetViews>
    <sheetView topLeftCell="C1" zoomScaleNormal="100" workbookViewId="0"/>
  </sheetViews>
  <sheetFormatPr baseColWidth="10" defaultColWidth="9.109375" defaultRowHeight="14.4" x14ac:dyDescent="0.3"/>
  <cols>
    <col min="2" max="2" width="35.44140625" bestFit="1" customWidth="1"/>
    <col min="3" max="3" width="53.109375" bestFit="1" customWidth="1"/>
    <col min="4" max="4" width="12" bestFit="1" customWidth="1"/>
    <col min="9" max="9" width="35.44140625" bestFit="1" customWidth="1"/>
    <col min="10" max="10" width="53.109375" bestFit="1" customWidth="1"/>
  </cols>
  <sheetData>
    <row r="1" spans="2:14" ht="15" thickBot="1" x14ac:dyDescent="0.35">
      <c r="D1" s="894"/>
      <c r="E1" s="894"/>
      <c r="F1" s="894"/>
      <c r="G1" s="894"/>
    </row>
    <row r="2" spans="2:14" ht="19.2" thickTop="1" thickBot="1" x14ac:dyDescent="0.35">
      <c r="B2" s="1108" t="s">
        <v>2539</v>
      </c>
      <c r="C2" s="1109"/>
      <c r="D2" s="1109"/>
      <c r="E2" s="1109"/>
      <c r="F2" s="1109"/>
      <c r="G2" s="1110"/>
      <c r="I2" s="1111" t="s">
        <v>2540</v>
      </c>
      <c r="J2" s="1112"/>
      <c r="K2" s="1112"/>
      <c r="L2" s="1112"/>
      <c r="M2" s="1112"/>
      <c r="N2" s="1113"/>
    </row>
    <row r="3" spans="2:14" x14ac:dyDescent="0.3">
      <c r="B3" s="1117" t="s">
        <v>636</v>
      </c>
      <c r="C3" s="1104" t="s">
        <v>47</v>
      </c>
      <c r="D3" s="1104" t="s">
        <v>655</v>
      </c>
      <c r="E3" s="1104"/>
      <c r="F3" s="1104" t="s">
        <v>656</v>
      </c>
      <c r="G3" s="1105"/>
      <c r="I3" s="1114" t="s">
        <v>636</v>
      </c>
      <c r="J3" s="1106" t="s">
        <v>47</v>
      </c>
      <c r="K3" s="1106" t="s">
        <v>655</v>
      </c>
      <c r="L3" s="1106"/>
      <c r="M3" s="1106" t="s">
        <v>656</v>
      </c>
      <c r="N3" s="1107"/>
    </row>
    <row r="4" spans="2:14" x14ac:dyDescent="0.3">
      <c r="B4" s="1118"/>
      <c r="C4" s="1119"/>
      <c r="D4" s="252" t="s">
        <v>289</v>
      </c>
      <c r="E4" s="253" t="s">
        <v>290</v>
      </c>
      <c r="F4" s="252" t="s">
        <v>289</v>
      </c>
      <c r="G4" s="256" t="s">
        <v>290</v>
      </c>
      <c r="I4" s="1115"/>
      <c r="J4" s="1116"/>
      <c r="K4" s="254" t="s">
        <v>289</v>
      </c>
      <c r="L4" s="255" t="s">
        <v>290</v>
      </c>
      <c r="M4" s="254" t="s">
        <v>289</v>
      </c>
      <c r="N4" s="267" t="s">
        <v>290</v>
      </c>
    </row>
    <row r="5" spans="2:14" x14ac:dyDescent="0.3">
      <c r="B5" s="257" t="s">
        <v>639</v>
      </c>
      <c r="C5" s="134" t="s">
        <v>10</v>
      </c>
      <c r="D5" s="220">
        <v>0.02</v>
      </c>
      <c r="E5" s="220">
        <v>0.41</v>
      </c>
      <c r="F5" s="220">
        <v>6.45</v>
      </c>
      <c r="G5" s="258">
        <v>10.8</v>
      </c>
      <c r="I5" s="268" t="s">
        <v>639</v>
      </c>
      <c r="J5" s="249" t="s">
        <v>10</v>
      </c>
      <c r="K5" s="220"/>
      <c r="L5" s="220"/>
      <c r="M5" s="220"/>
      <c r="N5" s="258"/>
    </row>
    <row r="6" spans="2:14" ht="15" thickBot="1" x14ac:dyDescent="0.35">
      <c r="B6" s="259" t="s">
        <v>639</v>
      </c>
      <c r="C6" s="251" t="s">
        <v>640</v>
      </c>
      <c r="D6" s="222">
        <v>0.02</v>
      </c>
      <c r="E6" s="222">
        <v>0.41</v>
      </c>
      <c r="F6" s="222">
        <v>6.45</v>
      </c>
      <c r="G6" s="260">
        <v>10.8</v>
      </c>
      <c r="I6" s="269" t="s">
        <v>639</v>
      </c>
      <c r="J6" s="270" t="s">
        <v>640</v>
      </c>
      <c r="K6" s="222"/>
      <c r="L6" s="222"/>
      <c r="M6" s="222"/>
      <c r="N6" s="260"/>
    </row>
    <row r="7" spans="2:14" ht="15" thickTop="1" x14ac:dyDescent="0.3">
      <c r="B7" s="261" t="s">
        <v>641</v>
      </c>
      <c r="C7" s="250" t="s">
        <v>48</v>
      </c>
      <c r="D7" s="221">
        <v>0.01</v>
      </c>
      <c r="E7" s="221">
        <v>0.6</v>
      </c>
      <c r="F7" s="221">
        <v>10.45</v>
      </c>
      <c r="G7" s="262">
        <v>15.52</v>
      </c>
      <c r="I7" s="271" t="s">
        <v>641</v>
      </c>
      <c r="J7" s="272" t="s">
        <v>48</v>
      </c>
      <c r="K7" s="221"/>
      <c r="L7" s="221"/>
      <c r="M7" s="221"/>
      <c r="N7" s="262"/>
    </row>
    <row r="8" spans="2:14" x14ac:dyDescent="0.3">
      <c r="B8" s="257" t="s">
        <v>641</v>
      </c>
      <c r="C8" s="134" t="s">
        <v>49</v>
      </c>
      <c r="D8" s="220">
        <v>0.06</v>
      </c>
      <c r="E8" s="220">
        <v>0.39</v>
      </c>
      <c r="F8" s="220">
        <v>8.16</v>
      </c>
      <c r="G8" s="258">
        <v>13.91</v>
      </c>
      <c r="I8" s="268" t="s">
        <v>641</v>
      </c>
      <c r="J8" s="249" t="s">
        <v>49</v>
      </c>
      <c r="K8" s="220"/>
      <c r="L8" s="220"/>
      <c r="M8" s="220"/>
      <c r="N8" s="258"/>
    </row>
    <row r="9" spans="2:14" ht="15" thickBot="1" x14ac:dyDescent="0.35">
      <c r="B9" s="259" t="s">
        <v>641</v>
      </c>
      <c r="C9" s="251" t="s">
        <v>50</v>
      </c>
      <c r="D9" s="222">
        <v>0.16</v>
      </c>
      <c r="E9" s="222">
        <v>1.45</v>
      </c>
      <c r="F9" s="222">
        <v>9.02</v>
      </c>
      <c r="G9" s="260">
        <v>13.27</v>
      </c>
      <c r="I9" s="269" t="s">
        <v>641</v>
      </c>
      <c r="J9" s="270" t="s">
        <v>50</v>
      </c>
      <c r="K9" s="222"/>
      <c r="L9" s="222"/>
      <c r="M9" s="222"/>
      <c r="N9" s="260"/>
    </row>
    <row r="10" spans="2:14" ht="15" thickTop="1" x14ac:dyDescent="0.3">
      <c r="B10" s="257" t="s">
        <v>642</v>
      </c>
      <c r="C10" s="134" t="s">
        <v>51</v>
      </c>
      <c r="D10" s="220">
        <v>0.53</v>
      </c>
      <c r="E10" s="220">
        <v>1.8</v>
      </c>
      <c r="F10" s="220">
        <v>10.6</v>
      </c>
      <c r="G10" s="258">
        <v>15.17</v>
      </c>
      <c r="I10" s="268" t="s">
        <v>642</v>
      </c>
      <c r="J10" s="249" t="s">
        <v>51</v>
      </c>
      <c r="K10" s="220"/>
      <c r="L10" s="220"/>
      <c r="M10" s="220"/>
      <c r="N10" s="258"/>
    </row>
    <row r="11" spans="2:14" x14ac:dyDescent="0.3">
      <c r="B11" s="257" t="s">
        <v>642</v>
      </c>
      <c r="C11" s="134" t="s">
        <v>14</v>
      </c>
      <c r="D11" s="220">
        <v>0</v>
      </c>
      <c r="E11" s="220">
        <v>0.94</v>
      </c>
      <c r="F11" s="220">
        <v>10.199999999999999</v>
      </c>
      <c r="G11" s="258">
        <v>16.760000000000002</v>
      </c>
      <c r="I11" s="268" t="s">
        <v>642</v>
      </c>
      <c r="J11" s="249" t="s">
        <v>14</v>
      </c>
      <c r="K11" s="220"/>
      <c r="L11" s="220"/>
      <c r="M11" s="220"/>
      <c r="N11" s="258"/>
    </row>
    <row r="12" spans="2:14" x14ac:dyDescent="0.3">
      <c r="B12" s="257" t="s">
        <v>642</v>
      </c>
      <c r="C12" s="134" t="s">
        <v>52</v>
      </c>
      <c r="D12" s="220">
        <v>0.08</v>
      </c>
      <c r="E12" s="220">
        <v>0.96</v>
      </c>
      <c r="F12" s="220">
        <v>10.61</v>
      </c>
      <c r="G12" s="258">
        <v>16.09</v>
      </c>
      <c r="I12" s="268" t="s">
        <v>642</v>
      </c>
      <c r="J12" s="249" t="s">
        <v>52</v>
      </c>
      <c r="K12" s="220"/>
      <c r="L12" s="220"/>
      <c r="M12" s="220"/>
      <c r="N12" s="258"/>
    </row>
    <row r="13" spans="2:14" x14ac:dyDescent="0.3">
      <c r="B13" s="257" t="s">
        <v>642</v>
      </c>
      <c r="C13" s="134" t="s">
        <v>643</v>
      </c>
      <c r="D13" s="220">
        <v>0.06</v>
      </c>
      <c r="E13" s="220">
        <v>1.07</v>
      </c>
      <c r="F13" s="220">
        <v>9.3000000000000007</v>
      </c>
      <c r="G13" s="258">
        <v>15.69</v>
      </c>
      <c r="I13" s="268" t="s">
        <v>642</v>
      </c>
      <c r="J13" s="249" t="s">
        <v>643</v>
      </c>
      <c r="K13" s="220"/>
      <c r="L13" s="220"/>
      <c r="M13" s="220"/>
      <c r="N13" s="258"/>
    </row>
    <row r="14" spans="2:14" ht="15" thickBot="1" x14ac:dyDescent="0.35">
      <c r="B14" s="259" t="s">
        <v>642</v>
      </c>
      <c r="C14" s="251" t="s">
        <v>644</v>
      </c>
      <c r="D14" s="222">
        <v>0.06</v>
      </c>
      <c r="E14" s="222">
        <v>1.32</v>
      </c>
      <c r="F14" s="222">
        <v>10.31</v>
      </c>
      <c r="G14" s="260">
        <v>16.100000000000001</v>
      </c>
      <c r="I14" s="269" t="s">
        <v>642</v>
      </c>
      <c r="J14" s="270" t="s">
        <v>644</v>
      </c>
      <c r="K14" s="222"/>
      <c r="L14" s="222"/>
      <c r="M14" s="222"/>
      <c r="N14" s="260"/>
    </row>
    <row r="15" spans="2:14" ht="15" thickTop="1" x14ac:dyDescent="0.3">
      <c r="B15" s="257" t="s">
        <v>54</v>
      </c>
      <c r="C15" s="134" t="s">
        <v>54</v>
      </c>
      <c r="D15" s="220">
        <v>0.26</v>
      </c>
      <c r="E15" s="220">
        <v>1.53</v>
      </c>
      <c r="F15" s="220">
        <v>13.4</v>
      </c>
      <c r="G15" s="258">
        <v>18.34</v>
      </c>
      <c r="I15" s="268" t="s">
        <v>54</v>
      </c>
      <c r="J15" s="249" t="s">
        <v>54</v>
      </c>
      <c r="K15" s="220"/>
      <c r="L15" s="220"/>
      <c r="M15" s="220"/>
      <c r="N15" s="258"/>
    </row>
    <row r="16" spans="2:14" ht="15" thickBot="1" x14ac:dyDescent="0.35">
      <c r="B16" s="259" t="s">
        <v>54</v>
      </c>
      <c r="C16" s="251" t="s">
        <v>645</v>
      </c>
      <c r="D16" s="222">
        <v>0.26</v>
      </c>
      <c r="E16" s="222">
        <v>1.53</v>
      </c>
      <c r="F16" s="222">
        <v>13.4</v>
      </c>
      <c r="G16" s="260">
        <v>18.34</v>
      </c>
      <c r="I16" s="269" t="s">
        <v>54</v>
      </c>
      <c r="J16" s="270" t="s">
        <v>645</v>
      </c>
      <c r="K16" s="222"/>
      <c r="L16" s="222"/>
      <c r="M16" s="222"/>
      <c r="N16" s="260"/>
    </row>
    <row r="17" spans="2:14" ht="15.6" thickTop="1" thickBot="1" x14ac:dyDescent="0.35">
      <c r="B17" s="259" t="s">
        <v>55</v>
      </c>
      <c r="C17" s="251" t="s">
        <v>55</v>
      </c>
      <c r="D17" s="222">
        <v>0.22</v>
      </c>
      <c r="E17" s="222">
        <v>0.74</v>
      </c>
      <c r="F17" s="222">
        <v>13.45</v>
      </c>
      <c r="G17" s="260">
        <v>17.77</v>
      </c>
      <c r="I17" s="269" t="s">
        <v>55</v>
      </c>
      <c r="J17" s="270" t="s">
        <v>55</v>
      </c>
      <c r="K17" s="222"/>
      <c r="L17" s="222"/>
      <c r="M17" s="222"/>
      <c r="N17" s="260"/>
    </row>
    <row r="18" spans="2:14" ht="15.6" thickTop="1" thickBot="1" x14ac:dyDescent="0.35">
      <c r="B18" s="259" t="s">
        <v>18</v>
      </c>
      <c r="C18" s="251" t="s">
        <v>18</v>
      </c>
      <c r="D18" s="222">
        <v>0.02</v>
      </c>
      <c r="E18" s="222">
        <v>0.36</v>
      </c>
      <c r="F18" s="222">
        <v>6.76</v>
      </c>
      <c r="G18" s="260">
        <v>15.45</v>
      </c>
      <c r="I18" s="269" t="s">
        <v>18</v>
      </c>
      <c r="J18" s="270" t="s">
        <v>18</v>
      </c>
      <c r="K18" s="222"/>
      <c r="L18" s="222"/>
      <c r="M18" s="222"/>
      <c r="N18" s="260"/>
    </row>
    <row r="19" spans="2:14" ht="15.6" thickTop="1" thickBot="1" x14ac:dyDescent="0.35">
      <c r="B19" s="385" t="s">
        <v>22</v>
      </c>
      <c r="C19" s="386" t="s">
        <v>22</v>
      </c>
      <c r="D19" s="387">
        <v>0.1</v>
      </c>
      <c r="E19" s="387">
        <v>0.7</v>
      </c>
      <c r="F19" s="387">
        <v>7</v>
      </c>
      <c r="G19" s="388">
        <v>12.8</v>
      </c>
      <c r="I19" s="389" t="s">
        <v>22</v>
      </c>
      <c r="J19" s="390" t="s">
        <v>22</v>
      </c>
      <c r="K19" s="387"/>
      <c r="L19" s="387"/>
      <c r="M19" s="387"/>
      <c r="N19" s="388"/>
    </row>
    <row r="20" spans="2:14" ht="15" thickTop="1" x14ac:dyDescent="0.3">
      <c r="B20" s="261" t="s">
        <v>646</v>
      </c>
      <c r="C20" s="250" t="s">
        <v>647</v>
      </c>
      <c r="D20" s="221">
        <v>0</v>
      </c>
      <c r="E20" s="221">
        <v>0.66</v>
      </c>
      <c r="F20" s="221">
        <v>4.95</v>
      </c>
      <c r="G20" s="262">
        <v>10.58</v>
      </c>
      <c r="I20" s="271" t="s">
        <v>646</v>
      </c>
      <c r="J20" s="272" t="s">
        <v>647</v>
      </c>
      <c r="K20" s="221"/>
      <c r="L20" s="221"/>
      <c r="M20" s="221"/>
      <c r="N20" s="262"/>
    </row>
    <row r="21" spans="2:14" x14ac:dyDescent="0.3">
      <c r="B21" s="257" t="s">
        <v>646</v>
      </c>
      <c r="C21" s="134" t="s">
        <v>648</v>
      </c>
      <c r="D21" s="220">
        <v>0</v>
      </c>
      <c r="E21" s="220">
        <v>0.46</v>
      </c>
      <c r="F21" s="220">
        <v>5.5</v>
      </c>
      <c r="G21" s="258">
        <v>10.66</v>
      </c>
      <c r="I21" s="268" t="s">
        <v>646</v>
      </c>
      <c r="J21" s="249" t="s">
        <v>648</v>
      </c>
      <c r="K21" s="220"/>
      <c r="L21" s="220"/>
      <c r="M21" s="220"/>
      <c r="N21" s="258"/>
    </row>
    <row r="22" spans="2:14" x14ac:dyDescent="0.3">
      <c r="B22" s="257" t="s">
        <v>646</v>
      </c>
      <c r="C22" s="134" t="s">
        <v>60</v>
      </c>
      <c r="D22" s="220">
        <v>0</v>
      </c>
      <c r="E22" s="220">
        <v>0.24</v>
      </c>
      <c r="F22" s="220">
        <v>3.48</v>
      </c>
      <c r="G22" s="258">
        <v>8.51</v>
      </c>
      <c r="I22" s="268" t="s">
        <v>646</v>
      </c>
      <c r="J22" s="249" t="s">
        <v>60</v>
      </c>
      <c r="K22" s="220"/>
      <c r="L22" s="220"/>
      <c r="M22" s="220"/>
      <c r="N22" s="258"/>
    </row>
    <row r="23" spans="2:14" x14ac:dyDescent="0.3">
      <c r="B23" s="257" t="s">
        <v>646</v>
      </c>
      <c r="C23" s="134" t="s">
        <v>61</v>
      </c>
      <c r="D23" s="220">
        <v>0</v>
      </c>
      <c r="E23" s="220">
        <v>0.33</v>
      </c>
      <c r="F23" s="220">
        <v>4.17</v>
      </c>
      <c r="G23" s="258">
        <v>9.42</v>
      </c>
      <c r="I23" s="268" t="s">
        <v>646</v>
      </c>
      <c r="J23" s="249" t="s">
        <v>61</v>
      </c>
      <c r="K23" s="220"/>
      <c r="L23" s="220"/>
      <c r="M23" s="220"/>
      <c r="N23" s="258"/>
    </row>
    <row r="24" spans="2:14" ht="15" thickBot="1" x14ac:dyDescent="0.35">
      <c r="B24" s="259" t="s">
        <v>646</v>
      </c>
      <c r="C24" s="251" t="s">
        <v>649</v>
      </c>
      <c r="D24" s="222">
        <v>0</v>
      </c>
      <c r="E24" s="222">
        <v>0.35</v>
      </c>
      <c r="F24" s="222">
        <v>4.3</v>
      </c>
      <c r="G24" s="260">
        <v>9.73</v>
      </c>
      <c r="I24" s="269" t="s">
        <v>646</v>
      </c>
      <c r="J24" s="270" t="s">
        <v>649</v>
      </c>
      <c r="K24" s="222"/>
      <c r="L24" s="222"/>
      <c r="M24" s="222"/>
      <c r="N24" s="260"/>
    </row>
    <row r="25" spans="2:14" ht="15" thickTop="1" x14ac:dyDescent="0.3">
      <c r="B25" s="257" t="s">
        <v>650</v>
      </c>
      <c r="C25" s="134" t="s">
        <v>57</v>
      </c>
      <c r="D25" s="220">
        <v>0.08</v>
      </c>
      <c r="E25" s="220">
        <v>0.63</v>
      </c>
      <c r="F25" s="220">
        <v>8.6300000000000008</v>
      </c>
      <c r="G25" s="258">
        <v>13.61</v>
      </c>
      <c r="I25" s="268" t="s">
        <v>650</v>
      </c>
      <c r="J25" s="249" t="s">
        <v>57</v>
      </c>
      <c r="K25" s="220"/>
      <c r="L25" s="220"/>
      <c r="M25" s="220"/>
      <c r="N25" s="258"/>
    </row>
    <row r="26" spans="2:14" x14ac:dyDescent="0.3">
      <c r="B26" s="257" t="s">
        <v>650</v>
      </c>
      <c r="C26" s="134" t="s">
        <v>58</v>
      </c>
      <c r="D26" s="220">
        <v>0.12</v>
      </c>
      <c r="E26" s="220">
        <v>0.65</v>
      </c>
      <c r="F26" s="220">
        <v>9.35</v>
      </c>
      <c r="G26" s="258">
        <v>13.53</v>
      </c>
      <c r="I26" s="268" t="s">
        <v>650</v>
      </c>
      <c r="J26" s="249" t="s">
        <v>58</v>
      </c>
      <c r="K26" s="220"/>
      <c r="L26" s="220"/>
      <c r="M26" s="220"/>
      <c r="N26" s="258"/>
    </row>
    <row r="27" spans="2:14" x14ac:dyDescent="0.3">
      <c r="B27" s="257" t="s">
        <v>650</v>
      </c>
      <c r="C27" s="134" t="s">
        <v>59</v>
      </c>
      <c r="D27" s="220">
        <v>0.28999999999999998</v>
      </c>
      <c r="E27" s="220">
        <v>0.95</v>
      </c>
      <c r="F27" s="220">
        <v>13.56</v>
      </c>
      <c r="G27" s="258">
        <v>18.27</v>
      </c>
      <c r="I27" s="268" t="s">
        <v>650</v>
      </c>
      <c r="J27" s="249" t="s">
        <v>59</v>
      </c>
      <c r="K27" s="220"/>
      <c r="L27" s="220"/>
      <c r="M27" s="220"/>
      <c r="N27" s="258"/>
    </row>
    <row r="28" spans="2:14" ht="15" thickBot="1" x14ac:dyDescent="0.35">
      <c r="B28" s="259" t="s">
        <v>650</v>
      </c>
      <c r="C28" s="251" t="s">
        <v>651</v>
      </c>
      <c r="D28" s="222">
        <v>0.21</v>
      </c>
      <c r="E28" s="222">
        <v>0.88</v>
      </c>
      <c r="F28" s="222">
        <v>10.7</v>
      </c>
      <c r="G28" s="260">
        <v>16.91</v>
      </c>
      <c r="I28" s="269" t="s">
        <v>650</v>
      </c>
      <c r="J28" s="270" t="s">
        <v>651</v>
      </c>
      <c r="K28" s="222"/>
      <c r="L28" s="222"/>
      <c r="M28" s="222"/>
      <c r="N28" s="260"/>
    </row>
    <row r="29" spans="2:14" ht="15" thickTop="1" x14ac:dyDescent="0.3">
      <c r="B29" s="257" t="s">
        <v>652</v>
      </c>
      <c r="C29" s="134" t="s">
        <v>62</v>
      </c>
      <c r="D29" s="220">
        <v>0</v>
      </c>
      <c r="E29" s="220">
        <v>0.89</v>
      </c>
      <c r="F29" s="220">
        <v>6.87</v>
      </c>
      <c r="G29" s="258">
        <v>12.1</v>
      </c>
      <c r="I29" s="268" t="s">
        <v>652</v>
      </c>
      <c r="J29" s="249" t="s">
        <v>62</v>
      </c>
      <c r="K29" s="220"/>
      <c r="L29" s="220"/>
      <c r="M29" s="220"/>
      <c r="N29" s="258"/>
    </row>
    <row r="30" spans="2:14" x14ac:dyDescent="0.3">
      <c r="B30" s="257" t="s">
        <v>652</v>
      </c>
      <c r="C30" s="134" t="s">
        <v>53</v>
      </c>
      <c r="D30" s="220">
        <v>0.24</v>
      </c>
      <c r="E30" s="220">
        <v>1.0900000000000001</v>
      </c>
      <c r="F30" s="220">
        <v>6.78</v>
      </c>
      <c r="G30" s="258">
        <v>11.66</v>
      </c>
      <c r="I30" s="268" t="s">
        <v>652</v>
      </c>
      <c r="J30" s="249" t="s">
        <v>53</v>
      </c>
      <c r="K30" s="220"/>
      <c r="L30" s="220"/>
      <c r="M30" s="220"/>
      <c r="N30" s="258"/>
    </row>
    <row r="31" spans="2:14" ht="15" thickBot="1" x14ac:dyDescent="0.35">
      <c r="B31" s="259" t="s">
        <v>652</v>
      </c>
      <c r="C31" s="251" t="s">
        <v>653</v>
      </c>
      <c r="D31" s="222">
        <v>0.2</v>
      </c>
      <c r="E31" s="222">
        <v>1.07</v>
      </c>
      <c r="F31" s="222">
        <v>6.8</v>
      </c>
      <c r="G31" s="260">
        <v>11.68</v>
      </c>
      <c r="I31" s="269" t="s">
        <v>652</v>
      </c>
      <c r="J31" s="270" t="s">
        <v>653</v>
      </c>
      <c r="K31" s="222"/>
      <c r="L31" s="222"/>
      <c r="M31" s="222"/>
      <c r="N31" s="260"/>
    </row>
    <row r="32" spans="2:14" ht="15.6" thickTop="1" thickBot="1" x14ac:dyDescent="0.35">
      <c r="B32" s="263" t="s">
        <v>291</v>
      </c>
      <c r="C32" s="264" t="s">
        <v>654</v>
      </c>
      <c r="D32" s="265">
        <v>0.03</v>
      </c>
      <c r="E32" s="265">
        <v>0.7</v>
      </c>
      <c r="F32" s="265">
        <v>7.57</v>
      </c>
      <c r="G32" s="266">
        <v>14.42</v>
      </c>
      <c r="I32" s="273" t="s">
        <v>291</v>
      </c>
      <c r="J32" s="274" t="s">
        <v>654</v>
      </c>
      <c r="K32" s="265"/>
      <c r="L32" s="265"/>
      <c r="M32" s="265"/>
      <c r="N32" s="266"/>
    </row>
    <row r="33" spans="2:14" ht="15" thickTop="1" x14ac:dyDescent="0.3"/>
    <row r="34" spans="2:14" x14ac:dyDescent="0.3">
      <c r="B34" s="1051" t="s">
        <v>2557</v>
      </c>
      <c r="C34" s="1051"/>
      <c r="D34" s="1051"/>
      <c r="E34" s="1051"/>
      <c r="F34" s="1051"/>
      <c r="G34" s="1051"/>
      <c r="H34" s="383"/>
      <c r="I34" s="1120" t="s">
        <v>2541</v>
      </c>
      <c r="J34" s="1121"/>
      <c r="K34" s="1121"/>
      <c r="L34" s="1121"/>
      <c r="M34" s="1121"/>
      <c r="N34" s="1122"/>
    </row>
    <row r="35" spans="2:14" x14ac:dyDescent="0.3">
      <c r="B35" s="1051"/>
      <c r="C35" s="1051"/>
      <c r="D35" s="1051"/>
      <c r="E35" s="1051"/>
      <c r="F35" s="1051"/>
      <c r="G35" s="1051"/>
      <c r="H35" s="383"/>
      <c r="I35" s="1123"/>
      <c r="J35" s="1124"/>
      <c r="K35" s="1124"/>
      <c r="L35" s="1124"/>
      <c r="M35" s="1124"/>
      <c r="N35" s="1125"/>
    </row>
    <row r="36" spans="2:14" ht="15" customHeight="1" x14ac:dyDescent="0.3">
      <c r="B36" s="1051" t="s">
        <v>2556</v>
      </c>
      <c r="C36" s="1051"/>
      <c r="D36" s="1051"/>
      <c r="E36" s="1051"/>
      <c r="F36" s="1051"/>
      <c r="G36" s="1051"/>
      <c r="H36" s="383"/>
      <c r="I36" s="1127"/>
      <c r="J36" s="1128"/>
      <c r="K36" s="1128"/>
      <c r="L36" s="1128"/>
      <c r="M36" s="1128"/>
      <c r="N36" s="1129"/>
    </row>
    <row r="37" spans="2:14" x14ac:dyDescent="0.3">
      <c r="B37" s="1051"/>
      <c r="C37" s="1051"/>
      <c r="D37" s="1051"/>
      <c r="E37" s="1051"/>
      <c r="F37" s="1051"/>
      <c r="G37" s="1051"/>
      <c r="H37" s="383"/>
      <c r="I37" s="1130"/>
      <c r="J37" s="1131"/>
      <c r="K37" s="1131"/>
      <c r="L37" s="1131"/>
      <c r="M37" s="1131"/>
      <c r="N37" s="1132"/>
    </row>
    <row r="38" spans="2:14" x14ac:dyDescent="0.3">
      <c r="B38" s="1051"/>
      <c r="C38" s="1051"/>
      <c r="D38" s="1051"/>
      <c r="E38" s="1051"/>
      <c r="F38" s="1051"/>
      <c r="G38" s="1051"/>
      <c r="H38" s="383"/>
      <c r="I38" s="1130"/>
      <c r="J38" s="1131"/>
      <c r="K38" s="1131"/>
      <c r="L38" s="1131"/>
      <c r="M38" s="1131"/>
      <c r="N38" s="1132"/>
    </row>
    <row r="39" spans="2:14" x14ac:dyDescent="0.3">
      <c r="B39" s="1051"/>
      <c r="C39" s="1051"/>
      <c r="D39" s="1051"/>
      <c r="E39" s="1051"/>
      <c r="F39" s="1051"/>
      <c r="G39" s="1051"/>
      <c r="H39" s="383"/>
      <c r="I39" s="1130"/>
      <c r="J39" s="1131"/>
      <c r="K39" s="1131"/>
      <c r="L39" s="1131"/>
      <c r="M39" s="1131"/>
      <c r="N39" s="1132"/>
    </row>
    <row r="40" spans="2:14" ht="15" customHeight="1" x14ac:dyDescent="0.3">
      <c r="B40" s="1052" t="s">
        <v>2561</v>
      </c>
      <c r="C40" s="1053"/>
      <c r="D40" s="1053"/>
      <c r="E40" s="1053"/>
      <c r="F40" s="1053"/>
      <c r="G40" s="1054"/>
      <c r="H40" s="383"/>
      <c r="I40" s="1130"/>
      <c r="J40" s="1131"/>
      <c r="K40" s="1131"/>
      <c r="L40" s="1131"/>
      <c r="M40" s="1131"/>
      <c r="N40" s="1132"/>
    </row>
    <row r="41" spans="2:14" x14ac:dyDescent="0.3">
      <c r="B41" s="1055"/>
      <c r="C41" s="1126"/>
      <c r="D41" s="1126"/>
      <c r="E41" s="1126"/>
      <c r="F41" s="1126"/>
      <c r="G41" s="1057"/>
      <c r="H41" s="383"/>
      <c r="I41" s="1130"/>
      <c r="J41" s="1131"/>
      <c r="K41" s="1131"/>
      <c r="L41" s="1131"/>
      <c r="M41" s="1131"/>
      <c r="N41" s="1132"/>
    </row>
    <row r="42" spans="2:14" x14ac:dyDescent="0.3">
      <c r="B42" s="1055"/>
      <c r="C42" s="1126"/>
      <c r="D42" s="1126"/>
      <c r="E42" s="1126"/>
      <c r="F42" s="1126"/>
      <c r="G42" s="1057"/>
      <c r="H42" s="383"/>
      <c r="I42" s="1130"/>
      <c r="J42" s="1131"/>
      <c r="K42" s="1131"/>
      <c r="L42" s="1131"/>
      <c r="M42" s="1131"/>
      <c r="N42" s="1132"/>
    </row>
    <row r="43" spans="2:14" x14ac:dyDescent="0.3">
      <c r="B43" s="1055"/>
      <c r="C43" s="1126"/>
      <c r="D43" s="1126"/>
      <c r="E43" s="1126"/>
      <c r="F43" s="1126"/>
      <c r="G43" s="1057"/>
      <c r="I43" s="1130"/>
      <c r="J43" s="1131"/>
      <c r="K43" s="1131"/>
      <c r="L43" s="1131"/>
      <c r="M43" s="1131"/>
      <c r="N43" s="1132"/>
    </row>
    <row r="44" spans="2:14" x14ac:dyDescent="0.3">
      <c r="B44" s="1055"/>
      <c r="C44" s="1126"/>
      <c r="D44" s="1126"/>
      <c r="E44" s="1126"/>
      <c r="F44" s="1126"/>
      <c r="G44" s="1057"/>
      <c r="I44" s="1130"/>
      <c r="J44" s="1131"/>
      <c r="K44" s="1131"/>
      <c r="L44" s="1131"/>
      <c r="M44" s="1131"/>
      <c r="N44" s="1132"/>
    </row>
    <row r="45" spans="2:14" x14ac:dyDescent="0.3">
      <c r="B45" s="1055"/>
      <c r="C45" s="1126"/>
      <c r="D45" s="1126"/>
      <c r="E45" s="1126"/>
      <c r="F45" s="1126"/>
      <c r="G45" s="1057"/>
      <c r="I45" s="1130"/>
      <c r="J45" s="1131"/>
      <c r="K45" s="1131"/>
      <c r="L45" s="1131"/>
      <c r="M45" s="1131"/>
      <c r="N45" s="1132"/>
    </row>
    <row r="46" spans="2:14" x14ac:dyDescent="0.3">
      <c r="B46" s="1055"/>
      <c r="C46" s="1126"/>
      <c r="D46" s="1126"/>
      <c r="E46" s="1126"/>
      <c r="F46" s="1126"/>
      <c r="G46" s="1057"/>
      <c r="I46" s="1130"/>
      <c r="J46" s="1131"/>
      <c r="K46" s="1131"/>
      <c r="L46" s="1131"/>
      <c r="M46" s="1131"/>
      <c r="N46" s="1132"/>
    </row>
    <row r="47" spans="2:14" x14ac:dyDescent="0.3">
      <c r="B47" s="1055"/>
      <c r="C47" s="1126"/>
      <c r="D47" s="1126"/>
      <c r="E47" s="1126"/>
      <c r="F47" s="1126"/>
      <c r="G47" s="1057"/>
      <c r="I47" s="1130"/>
      <c r="J47" s="1131"/>
      <c r="K47" s="1131"/>
      <c r="L47" s="1131"/>
      <c r="M47" s="1131"/>
      <c r="N47" s="1132"/>
    </row>
    <row r="48" spans="2:14" x14ac:dyDescent="0.3">
      <c r="B48" s="1055"/>
      <c r="C48" s="1126"/>
      <c r="D48" s="1126"/>
      <c r="E48" s="1126"/>
      <c r="F48" s="1126"/>
      <c r="G48" s="1057"/>
      <c r="I48" s="1130"/>
      <c r="J48" s="1131"/>
      <c r="K48" s="1131"/>
      <c r="L48" s="1131"/>
      <c r="M48" s="1131"/>
      <c r="N48" s="1132"/>
    </row>
    <row r="49" spans="2:14" x14ac:dyDescent="0.3">
      <c r="B49" s="1055"/>
      <c r="C49" s="1126"/>
      <c r="D49" s="1126"/>
      <c r="E49" s="1126"/>
      <c r="F49" s="1126"/>
      <c r="G49" s="1057"/>
      <c r="I49" s="1130"/>
      <c r="J49" s="1131"/>
      <c r="K49" s="1131"/>
      <c r="L49" s="1131"/>
      <c r="M49" s="1131"/>
      <c r="N49" s="1132"/>
    </row>
    <row r="50" spans="2:14" x14ac:dyDescent="0.3">
      <c r="B50" s="1055"/>
      <c r="C50" s="1126"/>
      <c r="D50" s="1126"/>
      <c r="E50" s="1126"/>
      <c r="F50" s="1126"/>
      <c r="G50" s="1057"/>
      <c r="I50" s="1130"/>
      <c r="J50" s="1131"/>
      <c r="K50" s="1131"/>
      <c r="L50" s="1131"/>
      <c r="M50" s="1131"/>
      <c r="N50" s="1132"/>
    </row>
    <row r="51" spans="2:14" x14ac:dyDescent="0.3">
      <c r="B51" s="1058"/>
      <c r="C51" s="1059"/>
      <c r="D51" s="1059"/>
      <c r="E51" s="1059"/>
      <c r="F51" s="1059"/>
      <c r="G51" s="1060"/>
      <c r="I51" s="1133"/>
      <c r="J51" s="1134"/>
      <c r="K51" s="1134"/>
      <c r="L51" s="1134"/>
      <c r="M51" s="1134"/>
      <c r="N51" s="1135"/>
    </row>
  </sheetData>
  <sheetProtection algorithmName="SHA-512" hashValue="5c8sfYuYbXb2vGXI41F0JYvvBS9wmMwbYLqDI39QaIfRXEaPd7MQvH6+ZDBeUoDJQkTwJ8XQ+Bfcw2HkiEpDag==" saltValue="vCDGHyo9K790qrUBKJ3Z8w==" spinCount="100000" sheet="1" objects="1" scenarios="1"/>
  <mergeCells count="16">
    <mergeCell ref="B34:G35"/>
    <mergeCell ref="I34:N35"/>
    <mergeCell ref="B36:G39"/>
    <mergeCell ref="B40:G51"/>
    <mergeCell ref="I36:N51"/>
    <mergeCell ref="D1:G1"/>
    <mergeCell ref="D3:E3"/>
    <mergeCell ref="F3:G3"/>
    <mergeCell ref="K3:L3"/>
    <mergeCell ref="M3:N3"/>
    <mergeCell ref="B2:G2"/>
    <mergeCell ref="I2:N2"/>
    <mergeCell ref="I3:I4"/>
    <mergeCell ref="J3:J4"/>
    <mergeCell ref="B3:B4"/>
    <mergeCell ref="C3:C4"/>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2"/>
  <dimension ref="A1:C704"/>
  <sheetViews>
    <sheetView zoomScaleNormal="100" workbookViewId="0">
      <selection sqref="A1:C1"/>
    </sheetView>
  </sheetViews>
  <sheetFormatPr baseColWidth="10" defaultColWidth="11.44140625" defaultRowHeight="14.4" x14ac:dyDescent="0.3"/>
  <cols>
    <col min="1" max="1" width="36.109375" bestFit="1" customWidth="1"/>
    <col min="2" max="2" width="46.5546875" bestFit="1" customWidth="1"/>
    <col min="3" max="3" width="26.5546875" bestFit="1" customWidth="1"/>
  </cols>
  <sheetData>
    <row r="1" spans="1:3" ht="15" customHeight="1" x14ac:dyDescent="0.3">
      <c r="A1" s="595" t="s">
        <v>873</v>
      </c>
      <c r="B1" s="595"/>
      <c r="C1" s="595"/>
    </row>
    <row r="2" spans="1:3" ht="15" customHeight="1" x14ac:dyDescent="0.3">
      <c r="A2" s="41"/>
      <c r="B2" s="41"/>
      <c r="C2" s="41"/>
    </row>
    <row r="3" spans="1:3" ht="34.5" customHeight="1" x14ac:dyDescent="0.3">
      <c r="A3" s="1136" t="s">
        <v>874</v>
      </c>
      <c r="B3" s="1136"/>
      <c r="C3" s="1136"/>
    </row>
    <row r="5" spans="1:3" x14ac:dyDescent="0.3">
      <c r="A5" t="s">
        <v>875</v>
      </c>
      <c r="B5" t="s">
        <v>876</v>
      </c>
      <c r="C5" t="s">
        <v>877</v>
      </c>
    </row>
    <row r="6" spans="1:3" x14ac:dyDescent="0.3">
      <c r="A6" t="s">
        <v>878</v>
      </c>
      <c r="B6" t="s">
        <v>839</v>
      </c>
      <c r="C6" t="s">
        <v>879</v>
      </c>
    </row>
    <row r="7" spans="1:3" x14ac:dyDescent="0.3">
      <c r="A7" t="s">
        <v>880</v>
      </c>
      <c r="B7" t="s">
        <v>839</v>
      </c>
      <c r="C7" t="s">
        <v>881</v>
      </c>
    </row>
    <row r="8" spans="1:3" x14ac:dyDescent="0.3">
      <c r="A8" t="s">
        <v>882</v>
      </c>
      <c r="B8" t="s">
        <v>839</v>
      </c>
      <c r="C8" t="s">
        <v>883</v>
      </c>
    </row>
    <row r="9" spans="1:3" x14ac:dyDescent="0.3">
      <c r="A9" t="s">
        <v>884</v>
      </c>
      <c r="B9" t="s">
        <v>839</v>
      </c>
      <c r="C9" t="s">
        <v>885</v>
      </c>
    </row>
    <row r="10" spans="1:3" x14ac:dyDescent="0.3">
      <c r="A10" t="s">
        <v>886</v>
      </c>
      <c r="B10" t="s">
        <v>839</v>
      </c>
      <c r="C10" t="s">
        <v>887</v>
      </c>
    </row>
    <row r="11" spans="1:3" x14ac:dyDescent="0.3">
      <c r="A11" t="s">
        <v>888</v>
      </c>
      <c r="B11" t="s">
        <v>839</v>
      </c>
      <c r="C11" t="s">
        <v>889</v>
      </c>
    </row>
    <row r="12" spans="1:3" x14ac:dyDescent="0.3">
      <c r="A12" t="s">
        <v>890</v>
      </c>
      <c r="B12" t="s">
        <v>839</v>
      </c>
      <c r="C12" t="s">
        <v>891</v>
      </c>
    </row>
    <row r="13" spans="1:3" x14ac:dyDescent="0.3">
      <c r="A13" t="s">
        <v>892</v>
      </c>
      <c r="B13" t="s">
        <v>839</v>
      </c>
      <c r="C13" t="s">
        <v>893</v>
      </c>
    </row>
    <row r="14" spans="1:3" x14ac:dyDescent="0.3">
      <c r="A14" t="s">
        <v>894</v>
      </c>
      <c r="B14" t="s">
        <v>840</v>
      </c>
      <c r="C14" t="s">
        <v>895</v>
      </c>
    </row>
    <row r="15" spans="1:3" x14ac:dyDescent="0.3">
      <c r="A15" t="s">
        <v>896</v>
      </c>
      <c r="B15" t="s">
        <v>839</v>
      </c>
      <c r="C15" t="s">
        <v>897</v>
      </c>
    </row>
    <row r="16" spans="1:3" x14ac:dyDescent="0.3">
      <c r="A16" t="s">
        <v>898</v>
      </c>
      <c r="B16" t="s">
        <v>839</v>
      </c>
      <c r="C16" t="s">
        <v>899</v>
      </c>
    </row>
    <row r="17" spans="1:3" x14ac:dyDescent="0.3">
      <c r="A17" t="s">
        <v>900</v>
      </c>
      <c r="B17" t="s">
        <v>840</v>
      </c>
      <c r="C17" t="s">
        <v>901</v>
      </c>
    </row>
    <row r="18" spans="1:3" x14ac:dyDescent="0.3">
      <c r="A18" t="s">
        <v>902</v>
      </c>
      <c r="B18" t="s">
        <v>839</v>
      </c>
      <c r="C18" t="s">
        <v>903</v>
      </c>
    </row>
    <row r="19" spans="1:3" x14ac:dyDescent="0.3">
      <c r="A19" t="s">
        <v>904</v>
      </c>
      <c r="B19" t="s">
        <v>839</v>
      </c>
      <c r="C19" t="s">
        <v>905</v>
      </c>
    </row>
    <row r="20" spans="1:3" x14ac:dyDescent="0.3">
      <c r="A20" t="s">
        <v>906</v>
      </c>
      <c r="B20" t="s">
        <v>839</v>
      </c>
      <c r="C20" t="s">
        <v>907</v>
      </c>
    </row>
    <row r="21" spans="1:3" x14ac:dyDescent="0.3">
      <c r="A21" t="s">
        <v>908</v>
      </c>
      <c r="B21" t="s">
        <v>839</v>
      </c>
      <c r="C21" t="s">
        <v>909</v>
      </c>
    </row>
    <row r="22" spans="1:3" x14ac:dyDescent="0.3">
      <c r="A22" t="s">
        <v>910</v>
      </c>
      <c r="B22" t="s">
        <v>839</v>
      </c>
      <c r="C22" t="s">
        <v>911</v>
      </c>
    </row>
    <row r="23" spans="1:3" x14ac:dyDescent="0.3">
      <c r="A23" t="s">
        <v>912</v>
      </c>
      <c r="B23" t="s">
        <v>839</v>
      </c>
      <c r="C23" t="s">
        <v>913</v>
      </c>
    </row>
    <row r="24" spans="1:3" x14ac:dyDescent="0.3">
      <c r="A24" t="s">
        <v>914</v>
      </c>
      <c r="B24" t="s">
        <v>839</v>
      </c>
      <c r="C24" t="s">
        <v>915</v>
      </c>
    </row>
    <row r="25" spans="1:3" x14ac:dyDescent="0.3">
      <c r="A25" t="s">
        <v>916</v>
      </c>
      <c r="B25" t="s">
        <v>839</v>
      </c>
      <c r="C25" t="s">
        <v>917</v>
      </c>
    </row>
    <row r="26" spans="1:3" x14ac:dyDescent="0.3">
      <c r="A26" t="s">
        <v>918</v>
      </c>
      <c r="B26" t="s">
        <v>839</v>
      </c>
      <c r="C26" t="s">
        <v>919</v>
      </c>
    </row>
    <row r="27" spans="1:3" x14ac:dyDescent="0.3">
      <c r="A27" t="s">
        <v>920</v>
      </c>
      <c r="B27" t="s">
        <v>839</v>
      </c>
      <c r="C27" t="s">
        <v>921</v>
      </c>
    </row>
    <row r="28" spans="1:3" x14ac:dyDescent="0.3">
      <c r="A28" t="s">
        <v>922</v>
      </c>
      <c r="B28" t="s">
        <v>839</v>
      </c>
      <c r="C28" t="s">
        <v>923</v>
      </c>
    </row>
    <row r="29" spans="1:3" x14ac:dyDescent="0.3">
      <c r="A29" t="s">
        <v>924</v>
      </c>
      <c r="B29" t="s">
        <v>840</v>
      </c>
      <c r="C29" t="s">
        <v>925</v>
      </c>
    </row>
    <row r="30" spans="1:3" x14ac:dyDescent="0.3">
      <c r="A30" t="s">
        <v>926</v>
      </c>
      <c r="B30" t="s">
        <v>840</v>
      </c>
      <c r="C30" t="s">
        <v>927</v>
      </c>
    </row>
    <row r="31" spans="1:3" x14ac:dyDescent="0.3">
      <c r="A31" t="s">
        <v>928</v>
      </c>
      <c r="B31" t="s">
        <v>839</v>
      </c>
      <c r="C31" t="s">
        <v>929</v>
      </c>
    </row>
    <row r="32" spans="1:3" x14ac:dyDescent="0.3">
      <c r="A32" t="s">
        <v>930</v>
      </c>
      <c r="B32" t="s">
        <v>839</v>
      </c>
      <c r="C32" t="s">
        <v>931</v>
      </c>
    </row>
    <row r="33" spans="1:3" x14ac:dyDescent="0.3">
      <c r="A33" t="s">
        <v>932</v>
      </c>
      <c r="B33" t="s">
        <v>839</v>
      </c>
      <c r="C33" t="s">
        <v>933</v>
      </c>
    </row>
    <row r="34" spans="1:3" x14ac:dyDescent="0.3">
      <c r="A34" t="s">
        <v>934</v>
      </c>
      <c r="B34" t="s">
        <v>839</v>
      </c>
      <c r="C34" t="s">
        <v>935</v>
      </c>
    </row>
    <row r="35" spans="1:3" x14ac:dyDescent="0.3">
      <c r="A35" t="s">
        <v>936</v>
      </c>
      <c r="B35" t="s">
        <v>839</v>
      </c>
      <c r="C35" t="s">
        <v>937</v>
      </c>
    </row>
    <row r="36" spans="1:3" x14ac:dyDescent="0.3">
      <c r="A36" t="s">
        <v>938</v>
      </c>
      <c r="B36" t="s">
        <v>839</v>
      </c>
      <c r="C36" t="s">
        <v>939</v>
      </c>
    </row>
    <row r="37" spans="1:3" x14ac:dyDescent="0.3">
      <c r="A37" t="s">
        <v>940</v>
      </c>
      <c r="B37" t="s">
        <v>840</v>
      </c>
      <c r="C37" t="s">
        <v>941</v>
      </c>
    </row>
    <row r="38" spans="1:3" x14ac:dyDescent="0.3">
      <c r="A38" t="s">
        <v>942</v>
      </c>
      <c r="B38" t="s">
        <v>839</v>
      </c>
      <c r="C38" t="s">
        <v>943</v>
      </c>
    </row>
    <row r="39" spans="1:3" x14ac:dyDescent="0.3">
      <c r="A39" t="s">
        <v>944</v>
      </c>
      <c r="B39" t="s">
        <v>840</v>
      </c>
      <c r="C39" t="s">
        <v>945</v>
      </c>
    </row>
    <row r="40" spans="1:3" x14ac:dyDescent="0.3">
      <c r="A40" t="s">
        <v>946</v>
      </c>
      <c r="B40" t="s">
        <v>839</v>
      </c>
      <c r="C40" t="s">
        <v>947</v>
      </c>
    </row>
    <row r="41" spans="1:3" x14ac:dyDescent="0.3">
      <c r="A41" t="s">
        <v>948</v>
      </c>
      <c r="B41" t="s">
        <v>839</v>
      </c>
      <c r="C41" t="s">
        <v>949</v>
      </c>
    </row>
    <row r="42" spans="1:3" x14ac:dyDescent="0.3">
      <c r="A42" t="s">
        <v>950</v>
      </c>
      <c r="B42" t="s">
        <v>839</v>
      </c>
      <c r="C42" t="s">
        <v>951</v>
      </c>
    </row>
    <row r="43" spans="1:3" x14ac:dyDescent="0.3">
      <c r="A43" t="s">
        <v>952</v>
      </c>
      <c r="B43" t="s">
        <v>840</v>
      </c>
      <c r="C43" t="s">
        <v>953</v>
      </c>
    </row>
    <row r="44" spans="1:3" x14ac:dyDescent="0.3">
      <c r="A44" t="s">
        <v>954</v>
      </c>
      <c r="B44" t="s">
        <v>840</v>
      </c>
      <c r="C44" t="s">
        <v>955</v>
      </c>
    </row>
    <row r="45" spans="1:3" x14ac:dyDescent="0.3">
      <c r="A45" t="s">
        <v>956</v>
      </c>
      <c r="B45" t="s">
        <v>840</v>
      </c>
      <c r="C45" t="s">
        <v>957</v>
      </c>
    </row>
    <row r="46" spans="1:3" x14ac:dyDescent="0.3">
      <c r="A46" t="s">
        <v>958</v>
      </c>
      <c r="B46" t="s">
        <v>839</v>
      </c>
      <c r="C46" t="s">
        <v>959</v>
      </c>
    </row>
    <row r="47" spans="1:3" x14ac:dyDescent="0.3">
      <c r="A47" t="s">
        <v>960</v>
      </c>
      <c r="B47" t="s">
        <v>839</v>
      </c>
      <c r="C47" t="s">
        <v>961</v>
      </c>
    </row>
    <row r="48" spans="1:3" x14ac:dyDescent="0.3">
      <c r="A48" t="s">
        <v>962</v>
      </c>
      <c r="B48" t="s">
        <v>839</v>
      </c>
      <c r="C48" t="s">
        <v>963</v>
      </c>
    </row>
    <row r="49" spans="1:3" x14ac:dyDescent="0.3">
      <c r="A49" t="s">
        <v>964</v>
      </c>
      <c r="B49" t="s">
        <v>839</v>
      </c>
      <c r="C49" t="s">
        <v>965</v>
      </c>
    </row>
    <row r="50" spans="1:3" x14ac:dyDescent="0.3">
      <c r="A50" t="s">
        <v>966</v>
      </c>
      <c r="B50" t="s">
        <v>840</v>
      </c>
      <c r="C50" t="s">
        <v>967</v>
      </c>
    </row>
    <row r="51" spans="1:3" x14ac:dyDescent="0.3">
      <c r="A51" t="s">
        <v>968</v>
      </c>
      <c r="B51" t="s">
        <v>839</v>
      </c>
      <c r="C51" t="s">
        <v>969</v>
      </c>
    </row>
    <row r="52" spans="1:3" x14ac:dyDescent="0.3">
      <c r="A52" t="s">
        <v>970</v>
      </c>
      <c r="B52" t="s">
        <v>839</v>
      </c>
      <c r="C52" t="s">
        <v>971</v>
      </c>
    </row>
    <row r="53" spans="1:3" x14ac:dyDescent="0.3">
      <c r="A53" t="s">
        <v>972</v>
      </c>
      <c r="B53" t="s">
        <v>839</v>
      </c>
      <c r="C53" t="s">
        <v>973</v>
      </c>
    </row>
    <row r="54" spans="1:3" x14ac:dyDescent="0.3">
      <c r="A54" t="s">
        <v>974</v>
      </c>
      <c r="B54" t="s">
        <v>839</v>
      </c>
      <c r="C54" t="s">
        <v>975</v>
      </c>
    </row>
    <row r="55" spans="1:3" x14ac:dyDescent="0.3">
      <c r="A55" t="s">
        <v>976</v>
      </c>
      <c r="B55" t="s">
        <v>840</v>
      </c>
      <c r="C55" t="s">
        <v>977</v>
      </c>
    </row>
    <row r="56" spans="1:3" x14ac:dyDescent="0.3">
      <c r="A56" t="s">
        <v>978</v>
      </c>
      <c r="B56" t="s">
        <v>840</v>
      </c>
      <c r="C56" t="s">
        <v>979</v>
      </c>
    </row>
    <row r="57" spans="1:3" x14ac:dyDescent="0.3">
      <c r="A57" t="s">
        <v>980</v>
      </c>
      <c r="B57" t="s">
        <v>839</v>
      </c>
      <c r="C57" t="s">
        <v>981</v>
      </c>
    </row>
    <row r="58" spans="1:3" x14ac:dyDescent="0.3">
      <c r="A58" t="s">
        <v>982</v>
      </c>
      <c r="B58" t="s">
        <v>839</v>
      </c>
      <c r="C58" t="s">
        <v>983</v>
      </c>
    </row>
    <row r="59" spans="1:3" x14ac:dyDescent="0.3">
      <c r="A59" t="s">
        <v>984</v>
      </c>
      <c r="B59" t="s">
        <v>839</v>
      </c>
      <c r="C59" t="s">
        <v>985</v>
      </c>
    </row>
    <row r="60" spans="1:3" x14ac:dyDescent="0.3">
      <c r="A60" t="s">
        <v>986</v>
      </c>
      <c r="B60" t="s">
        <v>839</v>
      </c>
      <c r="C60" t="s">
        <v>987</v>
      </c>
    </row>
    <row r="61" spans="1:3" x14ac:dyDescent="0.3">
      <c r="A61" t="s">
        <v>988</v>
      </c>
      <c r="B61" t="s">
        <v>839</v>
      </c>
      <c r="C61" t="s">
        <v>989</v>
      </c>
    </row>
    <row r="62" spans="1:3" x14ac:dyDescent="0.3">
      <c r="A62" t="s">
        <v>990</v>
      </c>
      <c r="B62" t="s">
        <v>839</v>
      </c>
      <c r="C62" t="s">
        <v>991</v>
      </c>
    </row>
    <row r="63" spans="1:3" x14ac:dyDescent="0.3">
      <c r="A63" t="s">
        <v>992</v>
      </c>
      <c r="B63" t="s">
        <v>839</v>
      </c>
      <c r="C63" t="s">
        <v>993</v>
      </c>
    </row>
    <row r="64" spans="1:3" x14ac:dyDescent="0.3">
      <c r="A64" t="s">
        <v>994</v>
      </c>
      <c r="B64" t="s">
        <v>839</v>
      </c>
      <c r="C64" t="s">
        <v>995</v>
      </c>
    </row>
    <row r="65" spans="1:3" x14ac:dyDescent="0.3">
      <c r="A65" t="s">
        <v>996</v>
      </c>
      <c r="B65" t="s">
        <v>840</v>
      </c>
      <c r="C65" t="s">
        <v>997</v>
      </c>
    </row>
    <row r="66" spans="1:3" x14ac:dyDescent="0.3">
      <c r="A66" t="s">
        <v>998</v>
      </c>
      <c r="B66" t="s">
        <v>840</v>
      </c>
      <c r="C66" t="s">
        <v>999</v>
      </c>
    </row>
    <row r="67" spans="1:3" x14ac:dyDescent="0.3">
      <c r="A67" t="s">
        <v>1000</v>
      </c>
      <c r="B67" t="s">
        <v>839</v>
      </c>
      <c r="C67" t="s">
        <v>1001</v>
      </c>
    </row>
    <row r="68" spans="1:3" x14ac:dyDescent="0.3">
      <c r="A68" t="s">
        <v>1002</v>
      </c>
      <c r="B68" t="s">
        <v>839</v>
      </c>
      <c r="C68" t="s">
        <v>1003</v>
      </c>
    </row>
    <row r="69" spans="1:3" x14ac:dyDescent="0.3">
      <c r="A69" t="s">
        <v>1004</v>
      </c>
      <c r="B69" t="s">
        <v>840</v>
      </c>
      <c r="C69" t="s">
        <v>1005</v>
      </c>
    </row>
    <row r="70" spans="1:3" x14ac:dyDescent="0.3">
      <c r="A70" t="s">
        <v>1006</v>
      </c>
      <c r="B70" t="s">
        <v>840</v>
      </c>
      <c r="C70" t="s">
        <v>1007</v>
      </c>
    </row>
    <row r="71" spans="1:3" x14ac:dyDescent="0.3">
      <c r="A71" t="s">
        <v>1008</v>
      </c>
      <c r="B71" t="s">
        <v>839</v>
      </c>
      <c r="C71" t="s">
        <v>1009</v>
      </c>
    </row>
    <row r="72" spans="1:3" x14ac:dyDescent="0.3">
      <c r="A72" t="s">
        <v>1010</v>
      </c>
      <c r="B72" t="s">
        <v>839</v>
      </c>
      <c r="C72" t="s">
        <v>1011</v>
      </c>
    </row>
    <row r="73" spans="1:3" x14ac:dyDescent="0.3">
      <c r="A73" t="s">
        <v>1012</v>
      </c>
      <c r="B73" t="s">
        <v>840</v>
      </c>
      <c r="C73" t="s">
        <v>1013</v>
      </c>
    </row>
    <row r="74" spans="1:3" x14ac:dyDescent="0.3">
      <c r="A74" t="s">
        <v>1014</v>
      </c>
      <c r="B74" t="s">
        <v>840</v>
      </c>
      <c r="C74" t="s">
        <v>1015</v>
      </c>
    </row>
    <row r="75" spans="1:3" x14ac:dyDescent="0.3">
      <c r="A75" t="s">
        <v>1016</v>
      </c>
      <c r="B75" t="s">
        <v>839</v>
      </c>
      <c r="C75" t="s">
        <v>1017</v>
      </c>
    </row>
    <row r="76" spans="1:3" x14ac:dyDescent="0.3">
      <c r="A76" t="s">
        <v>1018</v>
      </c>
      <c r="B76" t="s">
        <v>840</v>
      </c>
      <c r="C76" t="s">
        <v>1019</v>
      </c>
    </row>
    <row r="77" spans="1:3" x14ac:dyDescent="0.3">
      <c r="A77" t="s">
        <v>1020</v>
      </c>
      <c r="B77" t="s">
        <v>839</v>
      </c>
      <c r="C77" t="s">
        <v>1021</v>
      </c>
    </row>
    <row r="78" spans="1:3" x14ac:dyDescent="0.3">
      <c r="A78" t="s">
        <v>1022</v>
      </c>
      <c r="B78" t="s">
        <v>839</v>
      </c>
      <c r="C78" t="s">
        <v>1023</v>
      </c>
    </row>
    <row r="79" spans="1:3" x14ac:dyDescent="0.3">
      <c r="A79" t="s">
        <v>1024</v>
      </c>
      <c r="B79" t="s">
        <v>839</v>
      </c>
      <c r="C79" t="s">
        <v>1025</v>
      </c>
    </row>
    <row r="80" spans="1:3" x14ac:dyDescent="0.3">
      <c r="A80" t="s">
        <v>1026</v>
      </c>
      <c r="B80" t="s">
        <v>839</v>
      </c>
      <c r="C80" t="s">
        <v>1027</v>
      </c>
    </row>
    <row r="81" spans="1:3" x14ac:dyDescent="0.3">
      <c r="A81" t="s">
        <v>1028</v>
      </c>
      <c r="B81" t="s">
        <v>839</v>
      </c>
      <c r="C81" t="s">
        <v>1029</v>
      </c>
    </row>
    <row r="82" spans="1:3" x14ac:dyDescent="0.3">
      <c r="A82" t="s">
        <v>1030</v>
      </c>
      <c r="B82" t="s">
        <v>840</v>
      </c>
      <c r="C82" t="s">
        <v>1031</v>
      </c>
    </row>
    <row r="83" spans="1:3" x14ac:dyDescent="0.3">
      <c r="A83" t="s">
        <v>1032</v>
      </c>
      <c r="B83" t="s">
        <v>839</v>
      </c>
      <c r="C83" t="s">
        <v>1033</v>
      </c>
    </row>
    <row r="84" spans="1:3" x14ac:dyDescent="0.3">
      <c r="A84" t="s">
        <v>1034</v>
      </c>
      <c r="B84" t="s">
        <v>839</v>
      </c>
      <c r="C84" t="s">
        <v>1035</v>
      </c>
    </row>
    <row r="85" spans="1:3" x14ac:dyDescent="0.3">
      <c r="A85" t="s">
        <v>1036</v>
      </c>
      <c r="B85" t="s">
        <v>839</v>
      </c>
      <c r="C85" t="s">
        <v>1037</v>
      </c>
    </row>
    <row r="86" spans="1:3" x14ac:dyDescent="0.3">
      <c r="A86" t="s">
        <v>1038</v>
      </c>
      <c r="B86" t="s">
        <v>839</v>
      </c>
      <c r="C86" t="s">
        <v>1039</v>
      </c>
    </row>
    <row r="87" spans="1:3" x14ac:dyDescent="0.3">
      <c r="A87" t="s">
        <v>1040</v>
      </c>
      <c r="B87" t="s">
        <v>839</v>
      </c>
      <c r="C87" t="s">
        <v>1041</v>
      </c>
    </row>
    <row r="88" spans="1:3" x14ac:dyDescent="0.3">
      <c r="A88" t="s">
        <v>1042</v>
      </c>
      <c r="B88" t="s">
        <v>839</v>
      </c>
      <c r="C88" t="s">
        <v>1043</v>
      </c>
    </row>
    <row r="89" spans="1:3" x14ac:dyDescent="0.3">
      <c r="A89" t="s">
        <v>1044</v>
      </c>
      <c r="B89" t="s">
        <v>840</v>
      </c>
      <c r="C89" t="s">
        <v>1045</v>
      </c>
    </row>
    <row r="90" spans="1:3" x14ac:dyDescent="0.3">
      <c r="A90" t="s">
        <v>1046</v>
      </c>
      <c r="B90" t="s">
        <v>839</v>
      </c>
      <c r="C90" t="s">
        <v>1047</v>
      </c>
    </row>
    <row r="91" spans="1:3" x14ac:dyDescent="0.3">
      <c r="A91" t="s">
        <v>1048</v>
      </c>
      <c r="B91" t="s">
        <v>840</v>
      </c>
      <c r="C91" t="s">
        <v>1049</v>
      </c>
    </row>
    <row r="92" spans="1:3" x14ac:dyDescent="0.3">
      <c r="A92" t="s">
        <v>1050</v>
      </c>
      <c r="B92" t="s">
        <v>839</v>
      </c>
      <c r="C92" t="s">
        <v>1051</v>
      </c>
    </row>
    <row r="93" spans="1:3" x14ac:dyDescent="0.3">
      <c r="A93" t="s">
        <v>1052</v>
      </c>
      <c r="B93" t="s">
        <v>839</v>
      </c>
      <c r="C93" t="s">
        <v>1053</v>
      </c>
    </row>
    <row r="94" spans="1:3" x14ac:dyDescent="0.3">
      <c r="A94" t="s">
        <v>1054</v>
      </c>
      <c r="B94" t="s">
        <v>839</v>
      </c>
      <c r="C94" t="s">
        <v>1055</v>
      </c>
    </row>
    <row r="95" spans="1:3" x14ac:dyDescent="0.3">
      <c r="A95" t="s">
        <v>1056</v>
      </c>
      <c r="B95" t="s">
        <v>839</v>
      </c>
      <c r="C95" t="s">
        <v>1057</v>
      </c>
    </row>
    <row r="96" spans="1:3" x14ac:dyDescent="0.3">
      <c r="A96" t="s">
        <v>1058</v>
      </c>
      <c r="B96" t="s">
        <v>840</v>
      </c>
      <c r="C96" t="s">
        <v>1059</v>
      </c>
    </row>
    <row r="97" spans="1:3" x14ac:dyDescent="0.3">
      <c r="A97" t="s">
        <v>1060</v>
      </c>
      <c r="B97" t="s">
        <v>839</v>
      </c>
      <c r="C97" t="s">
        <v>1061</v>
      </c>
    </row>
    <row r="98" spans="1:3" x14ac:dyDescent="0.3">
      <c r="A98" t="s">
        <v>1062</v>
      </c>
      <c r="B98" t="s">
        <v>839</v>
      </c>
      <c r="C98" t="s">
        <v>1063</v>
      </c>
    </row>
    <row r="99" spans="1:3" x14ac:dyDescent="0.3">
      <c r="A99" t="s">
        <v>1064</v>
      </c>
      <c r="B99" t="s">
        <v>839</v>
      </c>
      <c r="C99" t="s">
        <v>1065</v>
      </c>
    </row>
    <row r="100" spans="1:3" x14ac:dyDescent="0.3">
      <c r="A100" t="s">
        <v>1066</v>
      </c>
      <c r="B100" t="s">
        <v>839</v>
      </c>
      <c r="C100" t="s">
        <v>1067</v>
      </c>
    </row>
    <row r="101" spans="1:3" x14ac:dyDescent="0.3">
      <c r="A101" t="s">
        <v>1068</v>
      </c>
      <c r="B101" t="s">
        <v>840</v>
      </c>
      <c r="C101" t="s">
        <v>1069</v>
      </c>
    </row>
    <row r="102" spans="1:3" x14ac:dyDescent="0.3">
      <c r="A102" t="s">
        <v>1070</v>
      </c>
      <c r="B102" t="s">
        <v>839</v>
      </c>
      <c r="C102" t="s">
        <v>1071</v>
      </c>
    </row>
    <row r="103" spans="1:3" x14ac:dyDescent="0.3">
      <c r="A103" t="s">
        <v>1072</v>
      </c>
      <c r="B103" t="s">
        <v>839</v>
      </c>
      <c r="C103" t="s">
        <v>1073</v>
      </c>
    </row>
    <row r="104" spans="1:3" x14ac:dyDescent="0.3">
      <c r="A104" t="s">
        <v>1074</v>
      </c>
      <c r="B104" t="s">
        <v>840</v>
      </c>
      <c r="C104" t="s">
        <v>1075</v>
      </c>
    </row>
    <row r="105" spans="1:3" x14ac:dyDescent="0.3">
      <c r="A105" t="s">
        <v>1076</v>
      </c>
      <c r="B105" t="s">
        <v>840</v>
      </c>
      <c r="C105" t="s">
        <v>1077</v>
      </c>
    </row>
    <row r="106" spans="1:3" x14ac:dyDescent="0.3">
      <c r="A106" t="s">
        <v>54</v>
      </c>
      <c r="B106" t="s">
        <v>839</v>
      </c>
      <c r="C106" t="s">
        <v>1078</v>
      </c>
    </row>
    <row r="107" spans="1:3" x14ac:dyDescent="0.3">
      <c r="A107" t="s">
        <v>1079</v>
      </c>
      <c r="B107" t="s">
        <v>839</v>
      </c>
      <c r="C107" t="s">
        <v>1080</v>
      </c>
    </row>
    <row r="108" spans="1:3" x14ac:dyDescent="0.3">
      <c r="A108" t="s">
        <v>1081</v>
      </c>
      <c r="B108" t="s">
        <v>840</v>
      </c>
      <c r="C108" t="s">
        <v>1082</v>
      </c>
    </row>
    <row r="109" spans="1:3" x14ac:dyDescent="0.3">
      <c r="A109" t="s">
        <v>1083</v>
      </c>
      <c r="B109" t="s">
        <v>839</v>
      </c>
      <c r="C109" t="s">
        <v>1084</v>
      </c>
    </row>
    <row r="110" spans="1:3" x14ac:dyDescent="0.3">
      <c r="A110" t="s">
        <v>1085</v>
      </c>
      <c r="B110" t="s">
        <v>839</v>
      </c>
      <c r="C110" t="s">
        <v>1086</v>
      </c>
    </row>
    <row r="111" spans="1:3" x14ac:dyDescent="0.3">
      <c r="A111" t="s">
        <v>1087</v>
      </c>
      <c r="B111" t="s">
        <v>839</v>
      </c>
      <c r="C111" t="s">
        <v>1088</v>
      </c>
    </row>
    <row r="112" spans="1:3" x14ac:dyDescent="0.3">
      <c r="A112" t="s">
        <v>1089</v>
      </c>
      <c r="B112" t="s">
        <v>840</v>
      </c>
      <c r="C112" t="s">
        <v>1090</v>
      </c>
    </row>
    <row r="113" spans="1:3" x14ac:dyDescent="0.3">
      <c r="A113" t="s">
        <v>1091</v>
      </c>
      <c r="B113" t="s">
        <v>839</v>
      </c>
      <c r="C113" t="s">
        <v>1092</v>
      </c>
    </row>
    <row r="114" spans="1:3" x14ac:dyDescent="0.3">
      <c r="A114" t="s">
        <v>1093</v>
      </c>
      <c r="B114" t="s">
        <v>839</v>
      </c>
      <c r="C114" t="s">
        <v>1094</v>
      </c>
    </row>
    <row r="115" spans="1:3" x14ac:dyDescent="0.3">
      <c r="A115" t="s">
        <v>1095</v>
      </c>
      <c r="B115" t="s">
        <v>839</v>
      </c>
      <c r="C115" t="s">
        <v>1096</v>
      </c>
    </row>
    <row r="116" spans="1:3" x14ac:dyDescent="0.3">
      <c r="A116" t="s">
        <v>1097</v>
      </c>
      <c r="B116" t="s">
        <v>839</v>
      </c>
      <c r="C116" t="s">
        <v>1098</v>
      </c>
    </row>
    <row r="117" spans="1:3" x14ac:dyDescent="0.3">
      <c r="A117" t="s">
        <v>1099</v>
      </c>
      <c r="B117" t="s">
        <v>839</v>
      </c>
      <c r="C117" t="s">
        <v>1100</v>
      </c>
    </row>
    <row r="118" spans="1:3" x14ac:dyDescent="0.3">
      <c r="A118" t="s">
        <v>1101</v>
      </c>
      <c r="B118" t="s">
        <v>839</v>
      </c>
      <c r="C118" t="s">
        <v>1102</v>
      </c>
    </row>
    <row r="119" spans="1:3" x14ac:dyDescent="0.3">
      <c r="A119" t="s">
        <v>1103</v>
      </c>
      <c r="B119" t="s">
        <v>839</v>
      </c>
      <c r="C119" t="s">
        <v>1104</v>
      </c>
    </row>
    <row r="120" spans="1:3" x14ac:dyDescent="0.3">
      <c r="A120" t="s">
        <v>1105</v>
      </c>
      <c r="B120" t="s">
        <v>839</v>
      </c>
      <c r="C120" t="s">
        <v>1106</v>
      </c>
    </row>
    <row r="121" spans="1:3" x14ac:dyDescent="0.3">
      <c r="A121" t="s">
        <v>1107</v>
      </c>
      <c r="B121" t="s">
        <v>839</v>
      </c>
      <c r="C121" t="s">
        <v>1108</v>
      </c>
    </row>
    <row r="122" spans="1:3" x14ac:dyDescent="0.3">
      <c r="A122" t="s">
        <v>1109</v>
      </c>
      <c r="B122" t="s">
        <v>839</v>
      </c>
      <c r="C122" t="s">
        <v>1110</v>
      </c>
    </row>
    <row r="123" spans="1:3" x14ac:dyDescent="0.3">
      <c r="A123" t="s">
        <v>1111</v>
      </c>
      <c r="B123" t="s">
        <v>840</v>
      </c>
      <c r="C123" t="s">
        <v>1112</v>
      </c>
    </row>
    <row r="124" spans="1:3" x14ac:dyDescent="0.3">
      <c r="A124" t="s">
        <v>1113</v>
      </c>
      <c r="B124" t="s">
        <v>839</v>
      </c>
      <c r="C124" t="s">
        <v>1114</v>
      </c>
    </row>
    <row r="125" spans="1:3" x14ac:dyDescent="0.3">
      <c r="A125" t="s">
        <v>1115</v>
      </c>
      <c r="B125" t="s">
        <v>839</v>
      </c>
      <c r="C125" t="s">
        <v>1116</v>
      </c>
    </row>
    <row r="126" spans="1:3" x14ac:dyDescent="0.3">
      <c r="A126" t="s">
        <v>1117</v>
      </c>
      <c r="B126" t="s">
        <v>840</v>
      </c>
      <c r="C126" t="s">
        <v>1118</v>
      </c>
    </row>
    <row r="127" spans="1:3" x14ac:dyDescent="0.3">
      <c r="A127" t="s">
        <v>1119</v>
      </c>
      <c r="B127" t="s">
        <v>839</v>
      </c>
      <c r="C127" t="s">
        <v>1120</v>
      </c>
    </row>
    <row r="128" spans="1:3" x14ac:dyDescent="0.3">
      <c r="A128" t="s">
        <v>1121</v>
      </c>
      <c r="B128" t="s">
        <v>839</v>
      </c>
      <c r="C128" t="s">
        <v>1122</v>
      </c>
    </row>
    <row r="129" spans="1:3" x14ac:dyDescent="0.3">
      <c r="A129" t="s">
        <v>1123</v>
      </c>
      <c r="B129" t="s">
        <v>839</v>
      </c>
      <c r="C129" t="s">
        <v>1124</v>
      </c>
    </row>
    <row r="130" spans="1:3" x14ac:dyDescent="0.3">
      <c r="A130" t="s">
        <v>1125</v>
      </c>
      <c r="B130" t="s">
        <v>839</v>
      </c>
      <c r="C130" t="s">
        <v>1126</v>
      </c>
    </row>
    <row r="131" spans="1:3" x14ac:dyDescent="0.3">
      <c r="A131" t="s">
        <v>1127</v>
      </c>
      <c r="B131" t="s">
        <v>840</v>
      </c>
      <c r="C131" t="s">
        <v>1128</v>
      </c>
    </row>
    <row r="132" spans="1:3" x14ac:dyDescent="0.3">
      <c r="A132" t="s">
        <v>1129</v>
      </c>
      <c r="B132" t="s">
        <v>840</v>
      </c>
      <c r="C132" t="s">
        <v>1130</v>
      </c>
    </row>
    <row r="133" spans="1:3" x14ac:dyDescent="0.3">
      <c r="A133" t="s">
        <v>1131</v>
      </c>
      <c r="B133" t="s">
        <v>840</v>
      </c>
      <c r="C133" t="s">
        <v>1132</v>
      </c>
    </row>
    <row r="134" spans="1:3" x14ac:dyDescent="0.3">
      <c r="A134" t="s">
        <v>1133</v>
      </c>
      <c r="B134" t="s">
        <v>839</v>
      </c>
      <c r="C134" t="s">
        <v>1134</v>
      </c>
    </row>
    <row r="135" spans="1:3" x14ac:dyDescent="0.3">
      <c r="A135" t="s">
        <v>1135</v>
      </c>
      <c r="B135" t="s">
        <v>839</v>
      </c>
      <c r="C135" t="s">
        <v>1136</v>
      </c>
    </row>
    <row r="136" spans="1:3" x14ac:dyDescent="0.3">
      <c r="A136" t="s">
        <v>1137</v>
      </c>
      <c r="B136" t="s">
        <v>839</v>
      </c>
      <c r="C136" t="s">
        <v>1138</v>
      </c>
    </row>
    <row r="137" spans="1:3" x14ac:dyDescent="0.3">
      <c r="A137" t="s">
        <v>1139</v>
      </c>
      <c r="B137" t="s">
        <v>839</v>
      </c>
      <c r="C137" t="s">
        <v>1140</v>
      </c>
    </row>
    <row r="138" spans="1:3" x14ac:dyDescent="0.3">
      <c r="A138" t="s">
        <v>1141</v>
      </c>
      <c r="B138" t="s">
        <v>839</v>
      </c>
      <c r="C138" t="s">
        <v>1142</v>
      </c>
    </row>
    <row r="139" spans="1:3" x14ac:dyDescent="0.3">
      <c r="A139" t="s">
        <v>1143</v>
      </c>
      <c r="B139" t="s">
        <v>840</v>
      </c>
      <c r="C139" t="s">
        <v>1144</v>
      </c>
    </row>
    <row r="140" spans="1:3" x14ac:dyDescent="0.3">
      <c r="A140" t="s">
        <v>1145</v>
      </c>
      <c r="B140" t="s">
        <v>839</v>
      </c>
      <c r="C140" t="s">
        <v>1146</v>
      </c>
    </row>
    <row r="141" spans="1:3" x14ac:dyDescent="0.3">
      <c r="A141" t="s">
        <v>1147</v>
      </c>
      <c r="B141" t="s">
        <v>839</v>
      </c>
      <c r="C141" t="s">
        <v>1148</v>
      </c>
    </row>
    <row r="142" spans="1:3" x14ac:dyDescent="0.3">
      <c r="A142" t="s">
        <v>1149</v>
      </c>
      <c r="B142" t="s">
        <v>839</v>
      </c>
      <c r="C142" t="s">
        <v>1150</v>
      </c>
    </row>
    <row r="143" spans="1:3" x14ac:dyDescent="0.3">
      <c r="A143" t="s">
        <v>1151</v>
      </c>
      <c r="B143" t="s">
        <v>839</v>
      </c>
      <c r="C143" t="s">
        <v>1152</v>
      </c>
    </row>
    <row r="144" spans="1:3" x14ac:dyDescent="0.3">
      <c r="A144" t="s">
        <v>1153</v>
      </c>
      <c r="B144" t="s">
        <v>839</v>
      </c>
      <c r="C144" t="s">
        <v>1154</v>
      </c>
    </row>
    <row r="145" spans="1:3" x14ac:dyDescent="0.3">
      <c r="A145" t="s">
        <v>1155</v>
      </c>
      <c r="B145" t="s">
        <v>839</v>
      </c>
      <c r="C145" t="s">
        <v>1156</v>
      </c>
    </row>
    <row r="146" spans="1:3" x14ac:dyDescent="0.3">
      <c r="A146" t="s">
        <v>1157</v>
      </c>
      <c r="B146" t="s">
        <v>839</v>
      </c>
      <c r="C146" t="s">
        <v>1158</v>
      </c>
    </row>
    <row r="147" spans="1:3" x14ac:dyDescent="0.3">
      <c r="A147" t="s">
        <v>1159</v>
      </c>
      <c r="B147" t="s">
        <v>839</v>
      </c>
      <c r="C147" t="s">
        <v>1160</v>
      </c>
    </row>
    <row r="148" spans="1:3" x14ac:dyDescent="0.3">
      <c r="A148" t="s">
        <v>1161</v>
      </c>
      <c r="B148" t="s">
        <v>840</v>
      </c>
      <c r="C148" t="s">
        <v>1162</v>
      </c>
    </row>
    <row r="149" spans="1:3" x14ac:dyDescent="0.3">
      <c r="A149" t="s">
        <v>1163</v>
      </c>
      <c r="B149" t="s">
        <v>839</v>
      </c>
      <c r="C149" t="s">
        <v>1164</v>
      </c>
    </row>
    <row r="150" spans="1:3" x14ac:dyDescent="0.3">
      <c r="A150" t="s">
        <v>1165</v>
      </c>
      <c r="B150" t="s">
        <v>839</v>
      </c>
      <c r="C150" t="s">
        <v>1166</v>
      </c>
    </row>
    <row r="151" spans="1:3" x14ac:dyDescent="0.3">
      <c r="A151" t="s">
        <v>1167</v>
      </c>
      <c r="B151" t="s">
        <v>839</v>
      </c>
      <c r="C151" t="s">
        <v>1168</v>
      </c>
    </row>
    <row r="152" spans="1:3" x14ac:dyDescent="0.3">
      <c r="A152" t="s">
        <v>1169</v>
      </c>
      <c r="B152" t="s">
        <v>840</v>
      </c>
      <c r="C152" t="s">
        <v>1170</v>
      </c>
    </row>
    <row r="153" spans="1:3" x14ac:dyDescent="0.3">
      <c r="A153" t="s">
        <v>1171</v>
      </c>
      <c r="B153" t="s">
        <v>839</v>
      </c>
      <c r="C153" t="s">
        <v>1172</v>
      </c>
    </row>
    <row r="154" spans="1:3" x14ac:dyDescent="0.3">
      <c r="A154" t="s">
        <v>1173</v>
      </c>
      <c r="B154" t="s">
        <v>840</v>
      </c>
      <c r="C154" t="s">
        <v>1174</v>
      </c>
    </row>
    <row r="155" spans="1:3" x14ac:dyDescent="0.3">
      <c r="A155" t="s">
        <v>1175</v>
      </c>
      <c r="B155" t="s">
        <v>840</v>
      </c>
      <c r="C155" t="s">
        <v>1176</v>
      </c>
    </row>
    <row r="156" spans="1:3" x14ac:dyDescent="0.3">
      <c r="A156" t="s">
        <v>1177</v>
      </c>
      <c r="B156" t="s">
        <v>839</v>
      </c>
      <c r="C156" t="s">
        <v>1178</v>
      </c>
    </row>
    <row r="157" spans="1:3" x14ac:dyDescent="0.3">
      <c r="A157" t="s">
        <v>1179</v>
      </c>
      <c r="B157" t="s">
        <v>839</v>
      </c>
      <c r="C157" t="s">
        <v>1180</v>
      </c>
    </row>
    <row r="158" spans="1:3" x14ac:dyDescent="0.3">
      <c r="A158" t="s">
        <v>1181</v>
      </c>
      <c r="B158" t="s">
        <v>839</v>
      </c>
      <c r="C158" t="s">
        <v>1182</v>
      </c>
    </row>
    <row r="159" spans="1:3" x14ac:dyDescent="0.3">
      <c r="A159" t="s">
        <v>1183</v>
      </c>
      <c r="B159" t="s">
        <v>839</v>
      </c>
      <c r="C159" t="s">
        <v>1184</v>
      </c>
    </row>
    <row r="160" spans="1:3" x14ac:dyDescent="0.3">
      <c r="A160" t="s">
        <v>1185</v>
      </c>
      <c r="B160" t="s">
        <v>839</v>
      </c>
      <c r="C160" t="s">
        <v>1186</v>
      </c>
    </row>
    <row r="161" spans="1:3" x14ac:dyDescent="0.3">
      <c r="A161" t="s">
        <v>1187</v>
      </c>
      <c r="B161" t="s">
        <v>839</v>
      </c>
      <c r="C161" t="s">
        <v>1188</v>
      </c>
    </row>
    <row r="162" spans="1:3" x14ac:dyDescent="0.3">
      <c r="A162" t="s">
        <v>1189</v>
      </c>
      <c r="B162" t="s">
        <v>839</v>
      </c>
      <c r="C162" t="s">
        <v>1190</v>
      </c>
    </row>
    <row r="163" spans="1:3" x14ac:dyDescent="0.3">
      <c r="A163" t="s">
        <v>1191</v>
      </c>
      <c r="B163" t="s">
        <v>839</v>
      </c>
      <c r="C163" t="s">
        <v>1192</v>
      </c>
    </row>
    <row r="164" spans="1:3" x14ac:dyDescent="0.3">
      <c r="A164" t="s">
        <v>1193</v>
      </c>
      <c r="B164" t="s">
        <v>839</v>
      </c>
      <c r="C164" t="s">
        <v>1194</v>
      </c>
    </row>
    <row r="165" spans="1:3" x14ac:dyDescent="0.3">
      <c r="A165" t="s">
        <v>1195</v>
      </c>
      <c r="B165" t="s">
        <v>840</v>
      </c>
      <c r="C165" t="s">
        <v>1196</v>
      </c>
    </row>
    <row r="166" spans="1:3" x14ac:dyDescent="0.3">
      <c r="A166" t="s">
        <v>1197</v>
      </c>
      <c r="B166" t="s">
        <v>839</v>
      </c>
      <c r="C166" t="s">
        <v>1198</v>
      </c>
    </row>
    <row r="167" spans="1:3" x14ac:dyDescent="0.3">
      <c r="A167" t="s">
        <v>1199</v>
      </c>
      <c r="B167" t="s">
        <v>839</v>
      </c>
      <c r="C167" t="s">
        <v>1200</v>
      </c>
    </row>
    <row r="168" spans="1:3" x14ac:dyDescent="0.3">
      <c r="A168" t="s">
        <v>1201</v>
      </c>
      <c r="B168" t="s">
        <v>839</v>
      </c>
      <c r="C168" t="s">
        <v>1202</v>
      </c>
    </row>
    <row r="169" spans="1:3" x14ac:dyDescent="0.3">
      <c r="A169" t="s">
        <v>1203</v>
      </c>
      <c r="B169" t="s">
        <v>839</v>
      </c>
      <c r="C169" t="s">
        <v>1204</v>
      </c>
    </row>
    <row r="170" spans="1:3" x14ac:dyDescent="0.3">
      <c r="A170" t="s">
        <v>1205</v>
      </c>
      <c r="B170" t="s">
        <v>839</v>
      </c>
      <c r="C170" t="s">
        <v>1206</v>
      </c>
    </row>
    <row r="171" spans="1:3" x14ac:dyDescent="0.3">
      <c r="A171" t="s">
        <v>1207</v>
      </c>
      <c r="B171" t="s">
        <v>840</v>
      </c>
      <c r="C171" t="s">
        <v>1208</v>
      </c>
    </row>
    <row r="172" spans="1:3" x14ac:dyDescent="0.3">
      <c r="A172" t="s">
        <v>1209</v>
      </c>
      <c r="B172" t="s">
        <v>839</v>
      </c>
      <c r="C172" t="s">
        <v>1210</v>
      </c>
    </row>
    <row r="173" spans="1:3" x14ac:dyDescent="0.3">
      <c r="A173" t="s">
        <v>1211</v>
      </c>
      <c r="B173" t="s">
        <v>840</v>
      </c>
      <c r="C173" t="s">
        <v>1212</v>
      </c>
    </row>
    <row r="174" spans="1:3" x14ac:dyDescent="0.3">
      <c r="A174" t="s">
        <v>1213</v>
      </c>
      <c r="B174" t="s">
        <v>840</v>
      </c>
      <c r="C174" t="s">
        <v>1214</v>
      </c>
    </row>
    <row r="175" spans="1:3" x14ac:dyDescent="0.3">
      <c r="A175" t="s">
        <v>1215</v>
      </c>
      <c r="B175" t="s">
        <v>839</v>
      </c>
      <c r="C175" t="s">
        <v>1216</v>
      </c>
    </row>
    <row r="176" spans="1:3" x14ac:dyDescent="0.3">
      <c r="A176" t="s">
        <v>1217</v>
      </c>
      <c r="B176" t="s">
        <v>839</v>
      </c>
      <c r="C176" t="s">
        <v>1218</v>
      </c>
    </row>
    <row r="177" spans="1:3" x14ac:dyDescent="0.3">
      <c r="A177" t="s">
        <v>1219</v>
      </c>
      <c r="B177" t="s">
        <v>839</v>
      </c>
      <c r="C177" t="s">
        <v>1220</v>
      </c>
    </row>
    <row r="178" spans="1:3" x14ac:dyDescent="0.3">
      <c r="A178" t="s">
        <v>1221</v>
      </c>
      <c r="B178" t="s">
        <v>839</v>
      </c>
      <c r="C178" t="s">
        <v>1222</v>
      </c>
    </row>
    <row r="179" spans="1:3" x14ac:dyDescent="0.3">
      <c r="A179" t="s">
        <v>1223</v>
      </c>
      <c r="B179" t="s">
        <v>839</v>
      </c>
      <c r="C179" t="s">
        <v>1224</v>
      </c>
    </row>
    <row r="180" spans="1:3" x14ac:dyDescent="0.3">
      <c r="A180" t="s">
        <v>1225</v>
      </c>
      <c r="B180" t="s">
        <v>839</v>
      </c>
      <c r="C180" t="s">
        <v>1226</v>
      </c>
    </row>
    <row r="181" spans="1:3" x14ac:dyDescent="0.3">
      <c r="A181" t="s">
        <v>1227</v>
      </c>
      <c r="B181" t="s">
        <v>839</v>
      </c>
      <c r="C181" t="s">
        <v>1228</v>
      </c>
    </row>
    <row r="182" spans="1:3" x14ac:dyDescent="0.3">
      <c r="A182" t="s">
        <v>1229</v>
      </c>
      <c r="B182" t="s">
        <v>840</v>
      </c>
      <c r="C182" t="s">
        <v>1230</v>
      </c>
    </row>
    <row r="183" spans="1:3" x14ac:dyDescent="0.3">
      <c r="A183" t="s">
        <v>1231</v>
      </c>
      <c r="B183" t="s">
        <v>839</v>
      </c>
      <c r="C183" t="s">
        <v>1232</v>
      </c>
    </row>
    <row r="184" spans="1:3" x14ac:dyDescent="0.3">
      <c r="A184" t="s">
        <v>1233</v>
      </c>
      <c r="B184" t="s">
        <v>840</v>
      </c>
      <c r="C184" t="s">
        <v>1234</v>
      </c>
    </row>
    <row r="185" spans="1:3" x14ac:dyDescent="0.3">
      <c r="A185" t="s">
        <v>1235</v>
      </c>
      <c r="B185" t="s">
        <v>839</v>
      </c>
      <c r="C185" t="s">
        <v>1236</v>
      </c>
    </row>
    <row r="186" spans="1:3" x14ac:dyDescent="0.3">
      <c r="A186" t="s">
        <v>1237</v>
      </c>
      <c r="B186" t="s">
        <v>839</v>
      </c>
      <c r="C186" t="s">
        <v>1238</v>
      </c>
    </row>
    <row r="187" spans="1:3" x14ac:dyDescent="0.3">
      <c r="A187" t="s">
        <v>1239</v>
      </c>
      <c r="B187" t="s">
        <v>839</v>
      </c>
      <c r="C187" t="s">
        <v>1240</v>
      </c>
    </row>
    <row r="188" spans="1:3" x14ac:dyDescent="0.3">
      <c r="A188" t="s">
        <v>1241</v>
      </c>
      <c r="B188" t="s">
        <v>840</v>
      </c>
      <c r="C188" t="s">
        <v>1242</v>
      </c>
    </row>
    <row r="189" spans="1:3" x14ac:dyDescent="0.3">
      <c r="A189" t="s">
        <v>1243</v>
      </c>
      <c r="B189" t="s">
        <v>840</v>
      </c>
      <c r="C189" t="s">
        <v>1244</v>
      </c>
    </row>
    <row r="190" spans="1:3" x14ac:dyDescent="0.3">
      <c r="A190" t="s">
        <v>1245</v>
      </c>
      <c r="B190" t="s">
        <v>839</v>
      </c>
      <c r="C190" t="s">
        <v>1246</v>
      </c>
    </row>
    <row r="191" spans="1:3" x14ac:dyDescent="0.3">
      <c r="A191" t="s">
        <v>1247</v>
      </c>
      <c r="B191" t="s">
        <v>839</v>
      </c>
      <c r="C191" t="s">
        <v>1248</v>
      </c>
    </row>
    <row r="192" spans="1:3" x14ac:dyDescent="0.3">
      <c r="A192" t="s">
        <v>1249</v>
      </c>
      <c r="B192" t="s">
        <v>840</v>
      </c>
      <c r="C192" t="s">
        <v>1250</v>
      </c>
    </row>
    <row r="193" spans="1:3" x14ac:dyDescent="0.3">
      <c r="A193" t="s">
        <v>1251</v>
      </c>
      <c r="B193" t="s">
        <v>839</v>
      </c>
      <c r="C193" t="s">
        <v>1252</v>
      </c>
    </row>
    <row r="194" spans="1:3" x14ac:dyDescent="0.3">
      <c r="A194" t="s">
        <v>1253</v>
      </c>
      <c r="B194" t="s">
        <v>839</v>
      </c>
      <c r="C194" t="s">
        <v>1254</v>
      </c>
    </row>
    <row r="195" spans="1:3" x14ac:dyDescent="0.3">
      <c r="A195" t="s">
        <v>1255</v>
      </c>
      <c r="B195" t="s">
        <v>840</v>
      </c>
      <c r="C195" t="s">
        <v>1256</v>
      </c>
    </row>
    <row r="196" spans="1:3" x14ac:dyDescent="0.3">
      <c r="A196" t="s">
        <v>1257</v>
      </c>
      <c r="B196" t="s">
        <v>839</v>
      </c>
      <c r="C196" t="s">
        <v>1258</v>
      </c>
    </row>
    <row r="197" spans="1:3" x14ac:dyDescent="0.3">
      <c r="A197" t="s">
        <v>1259</v>
      </c>
      <c r="B197" t="s">
        <v>839</v>
      </c>
      <c r="C197" t="s">
        <v>1260</v>
      </c>
    </row>
    <row r="198" spans="1:3" x14ac:dyDescent="0.3">
      <c r="A198" t="s">
        <v>1261</v>
      </c>
      <c r="B198" t="s">
        <v>839</v>
      </c>
      <c r="C198" t="s">
        <v>1262</v>
      </c>
    </row>
    <row r="199" spans="1:3" x14ac:dyDescent="0.3">
      <c r="A199" t="s">
        <v>1263</v>
      </c>
      <c r="B199" t="s">
        <v>840</v>
      </c>
      <c r="C199" t="s">
        <v>1264</v>
      </c>
    </row>
    <row r="200" spans="1:3" x14ac:dyDescent="0.3">
      <c r="A200" t="s">
        <v>1265</v>
      </c>
      <c r="B200" t="s">
        <v>839</v>
      </c>
      <c r="C200" t="s">
        <v>1266</v>
      </c>
    </row>
    <row r="201" spans="1:3" x14ac:dyDescent="0.3">
      <c r="A201" t="s">
        <v>1267</v>
      </c>
      <c r="B201" t="s">
        <v>839</v>
      </c>
      <c r="C201" t="s">
        <v>1268</v>
      </c>
    </row>
    <row r="202" spans="1:3" x14ac:dyDescent="0.3">
      <c r="A202" t="s">
        <v>1269</v>
      </c>
      <c r="B202" t="s">
        <v>839</v>
      </c>
      <c r="C202" t="s">
        <v>1270</v>
      </c>
    </row>
    <row r="203" spans="1:3" x14ac:dyDescent="0.3">
      <c r="A203" t="s">
        <v>1271</v>
      </c>
      <c r="B203" t="s">
        <v>839</v>
      </c>
      <c r="C203" t="s">
        <v>1272</v>
      </c>
    </row>
    <row r="204" spans="1:3" x14ac:dyDescent="0.3">
      <c r="A204" t="s">
        <v>1273</v>
      </c>
      <c r="B204" t="s">
        <v>839</v>
      </c>
      <c r="C204" t="s">
        <v>1274</v>
      </c>
    </row>
    <row r="205" spans="1:3" x14ac:dyDescent="0.3">
      <c r="A205" t="s">
        <v>1275</v>
      </c>
      <c r="B205" t="s">
        <v>839</v>
      </c>
      <c r="C205" t="s">
        <v>1276</v>
      </c>
    </row>
    <row r="206" spans="1:3" x14ac:dyDescent="0.3">
      <c r="A206" t="s">
        <v>1277</v>
      </c>
      <c r="B206" t="s">
        <v>839</v>
      </c>
      <c r="C206" t="s">
        <v>1278</v>
      </c>
    </row>
    <row r="207" spans="1:3" x14ac:dyDescent="0.3">
      <c r="A207" t="s">
        <v>1279</v>
      </c>
      <c r="B207" t="s">
        <v>839</v>
      </c>
      <c r="C207" t="s">
        <v>1280</v>
      </c>
    </row>
    <row r="208" spans="1:3" x14ac:dyDescent="0.3">
      <c r="A208" t="s">
        <v>1281</v>
      </c>
      <c r="B208" t="s">
        <v>839</v>
      </c>
      <c r="C208" t="s">
        <v>1282</v>
      </c>
    </row>
    <row r="209" spans="1:3" x14ac:dyDescent="0.3">
      <c r="A209" t="s">
        <v>1283</v>
      </c>
      <c r="B209" t="s">
        <v>839</v>
      </c>
      <c r="C209" t="s">
        <v>1284</v>
      </c>
    </row>
    <row r="210" spans="1:3" x14ac:dyDescent="0.3">
      <c r="A210" t="s">
        <v>1285</v>
      </c>
      <c r="B210" t="s">
        <v>839</v>
      </c>
      <c r="C210" t="s">
        <v>1286</v>
      </c>
    </row>
    <row r="211" spans="1:3" x14ac:dyDescent="0.3">
      <c r="A211" t="s">
        <v>1287</v>
      </c>
      <c r="B211" t="s">
        <v>839</v>
      </c>
      <c r="C211" t="s">
        <v>1288</v>
      </c>
    </row>
    <row r="212" spans="1:3" x14ac:dyDescent="0.3">
      <c r="A212" t="s">
        <v>1289</v>
      </c>
      <c r="B212" t="s">
        <v>839</v>
      </c>
      <c r="C212" t="s">
        <v>1290</v>
      </c>
    </row>
    <row r="213" spans="1:3" x14ac:dyDescent="0.3">
      <c r="A213" t="s">
        <v>1291</v>
      </c>
      <c r="B213" t="s">
        <v>839</v>
      </c>
      <c r="C213" t="s">
        <v>1292</v>
      </c>
    </row>
    <row r="214" spans="1:3" x14ac:dyDescent="0.3">
      <c r="A214" t="s">
        <v>1293</v>
      </c>
      <c r="B214" t="s">
        <v>839</v>
      </c>
      <c r="C214" t="s">
        <v>1294</v>
      </c>
    </row>
    <row r="215" spans="1:3" x14ac:dyDescent="0.3">
      <c r="A215" t="s">
        <v>1295</v>
      </c>
      <c r="B215" t="s">
        <v>839</v>
      </c>
      <c r="C215" t="s">
        <v>1296</v>
      </c>
    </row>
    <row r="216" spans="1:3" x14ac:dyDescent="0.3">
      <c r="A216" t="s">
        <v>1297</v>
      </c>
      <c r="B216" t="s">
        <v>839</v>
      </c>
      <c r="C216" t="s">
        <v>1298</v>
      </c>
    </row>
    <row r="217" spans="1:3" x14ac:dyDescent="0.3">
      <c r="A217" t="s">
        <v>1299</v>
      </c>
      <c r="B217" t="s">
        <v>840</v>
      </c>
      <c r="C217" t="s">
        <v>1300</v>
      </c>
    </row>
    <row r="218" spans="1:3" x14ac:dyDescent="0.3">
      <c r="A218" t="s">
        <v>1301</v>
      </c>
      <c r="B218" t="s">
        <v>840</v>
      </c>
      <c r="C218" t="s">
        <v>1302</v>
      </c>
    </row>
    <row r="219" spans="1:3" x14ac:dyDescent="0.3">
      <c r="A219" t="s">
        <v>1303</v>
      </c>
      <c r="B219" t="s">
        <v>840</v>
      </c>
      <c r="C219" t="s">
        <v>1304</v>
      </c>
    </row>
    <row r="220" spans="1:3" x14ac:dyDescent="0.3">
      <c r="A220" t="s">
        <v>1305</v>
      </c>
      <c r="B220" t="s">
        <v>840</v>
      </c>
      <c r="C220" t="s">
        <v>1306</v>
      </c>
    </row>
    <row r="221" spans="1:3" x14ac:dyDescent="0.3">
      <c r="A221" t="s">
        <v>1307</v>
      </c>
      <c r="B221" t="s">
        <v>839</v>
      </c>
      <c r="C221" t="s">
        <v>1308</v>
      </c>
    </row>
    <row r="222" spans="1:3" x14ac:dyDescent="0.3">
      <c r="A222" t="s">
        <v>1309</v>
      </c>
      <c r="B222" t="s">
        <v>840</v>
      </c>
      <c r="C222" t="s">
        <v>1310</v>
      </c>
    </row>
    <row r="223" spans="1:3" x14ac:dyDescent="0.3">
      <c r="A223" t="s">
        <v>1311</v>
      </c>
      <c r="B223" t="s">
        <v>839</v>
      </c>
      <c r="C223" t="s">
        <v>1312</v>
      </c>
    </row>
    <row r="224" spans="1:3" x14ac:dyDescent="0.3">
      <c r="A224" t="s">
        <v>1313</v>
      </c>
      <c r="B224" t="s">
        <v>839</v>
      </c>
      <c r="C224" t="s">
        <v>1314</v>
      </c>
    </row>
    <row r="225" spans="1:3" x14ac:dyDescent="0.3">
      <c r="A225" t="s">
        <v>1315</v>
      </c>
      <c r="B225" t="s">
        <v>839</v>
      </c>
      <c r="C225" t="s">
        <v>1316</v>
      </c>
    </row>
    <row r="226" spans="1:3" x14ac:dyDescent="0.3">
      <c r="A226" t="s">
        <v>1317</v>
      </c>
      <c r="B226" t="s">
        <v>839</v>
      </c>
      <c r="C226" t="s">
        <v>1318</v>
      </c>
    </row>
    <row r="227" spans="1:3" x14ac:dyDescent="0.3">
      <c r="A227" t="s">
        <v>1319</v>
      </c>
      <c r="B227" t="s">
        <v>839</v>
      </c>
      <c r="C227" t="s">
        <v>1320</v>
      </c>
    </row>
    <row r="228" spans="1:3" x14ac:dyDescent="0.3">
      <c r="A228" t="s">
        <v>1321</v>
      </c>
      <c r="B228" t="s">
        <v>840</v>
      </c>
      <c r="C228" t="s">
        <v>1322</v>
      </c>
    </row>
    <row r="229" spans="1:3" x14ac:dyDescent="0.3">
      <c r="A229" t="s">
        <v>1323</v>
      </c>
      <c r="B229" t="s">
        <v>839</v>
      </c>
      <c r="C229" t="s">
        <v>1324</v>
      </c>
    </row>
    <row r="230" spans="1:3" x14ac:dyDescent="0.3">
      <c r="A230" t="s">
        <v>1325</v>
      </c>
      <c r="B230" t="s">
        <v>839</v>
      </c>
      <c r="C230" t="s">
        <v>1326</v>
      </c>
    </row>
    <row r="231" spans="1:3" x14ac:dyDescent="0.3">
      <c r="A231" t="s">
        <v>1327</v>
      </c>
      <c r="B231" t="s">
        <v>839</v>
      </c>
      <c r="C231" t="s">
        <v>1328</v>
      </c>
    </row>
    <row r="232" spans="1:3" x14ac:dyDescent="0.3">
      <c r="A232" t="s">
        <v>1329</v>
      </c>
      <c r="B232" t="s">
        <v>839</v>
      </c>
      <c r="C232" t="s">
        <v>1330</v>
      </c>
    </row>
    <row r="233" spans="1:3" x14ac:dyDescent="0.3">
      <c r="A233" t="s">
        <v>1331</v>
      </c>
      <c r="B233" t="s">
        <v>839</v>
      </c>
      <c r="C233" t="s">
        <v>1332</v>
      </c>
    </row>
    <row r="234" spans="1:3" x14ac:dyDescent="0.3">
      <c r="A234" t="s">
        <v>1333</v>
      </c>
      <c r="B234" t="s">
        <v>840</v>
      </c>
      <c r="C234" t="s">
        <v>1334</v>
      </c>
    </row>
    <row r="235" spans="1:3" x14ac:dyDescent="0.3">
      <c r="A235" t="s">
        <v>1335</v>
      </c>
      <c r="B235" t="s">
        <v>839</v>
      </c>
      <c r="C235" t="s">
        <v>1336</v>
      </c>
    </row>
    <row r="236" spans="1:3" x14ac:dyDescent="0.3">
      <c r="A236" t="s">
        <v>1337</v>
      </c>
      <c r="B236" t="s">
        <v>840</v>
      </c>
      <c r="C236" t="s">
        <v>1338</v>
      </c>
    </row>
    <row r="237" spans="1:3" x14ac:dyDescent="0.3">
      <c r="A237" t="s">
        <v>1339</v>
      </c>
      <c r="B237" t="s">
        <v>839</v>
      </c>
      <c r="C237" t="s">
        <v>1340</v>
      </c>
    </row>
    <row r="238" spans="1:3" x14ac:dyDescent="0.3">
      <c r="A238" t="s">
        <v>1341</v>
      </c>
      <c r="B238" t="s">
        <v>839</v>
      </c>
      <c r="C238" t="s">
        <v>1342</v>
      </c>
    </row>
    <row r="239" spans="1:3" x14ac:dyDescent="0.3">
      <c r="A239" t="s">
        <v>1343</v>
      </c>
      <c r="B239" t="s">
        <v>839</v>
      </c>
      <c r="C239" t="s">
        <v>1344</v>
      </c>
    </row>
    <row r="240" spans="1:3" x14ac:dyDescent="0.3">
      <c r="A240" t="s">
        <v>1345</v>
      </c>
      <c r="B240" t="s">
        <v>840</v>
      </c>
      <c r="C240" t="s">
        <v>1346</v>
      </c>
    </row>
    <row r="241" spans="1:3" x14ac:dyDescent="0.3">
      <c r="A241" t="s">
        <v>1347</v>
      </c>
      <c r="B241" t="s">
        <v>840</v>
      </c>
      <c r="C241" t="s">
        <v>1348</v>
      </c>
    </row>
    <row r="242" spans="1:3" x14ac:dyDescent="0.3">
      <c r="A242" t="s">
        <v>1349</v>
      </c>
      <c r="B242" t="s">
        <v>839</v>
      </c>
      <c r="C242" t="s">
        <v>1350</v>
      </c>
    </row>
    <row r="243" spans="1:3" x14ac:dyDescent="0.3">
      <c r="A243" t="s">
        <v>1351</v>
      </c>
      <c r="B243" t="s">
        <v>840</v>
      </c>
      <c r="C243" t="s">
        <v>1352</v>
      </c>
    </row>
    <row r="244" spans="1:3" x14ac:dyDescent="0.3">
      <c r="A244" t="s">
        <v>1353</v>
      </c>
      <c r="B244" t="s">
        <v>839</v>
      </c>
      <c r="C244" t="s">
        <v>1354</v>
      </c>
    </row>
    <row r="245" spans="1:3" x14ac:dyDescent="0.3">
      <c r="A245" t="s">
        <v>1355</v>
      </c>
      <c r="B245" t="s">
        <v>839</v>
      </c>
      <c r="C245" t="s">
        <v>1356</v>
      </c>
    </row>
    <row r="246" spans="1:3" x14ac:dyDescent="0.3">
      <c r="A246" t="s">
        <v>1357</v>
      </c>
      <c r="B246" t="s">
        <v>840</v>
      </c>
      <c r="C246" t="s">
        <v>1358</v>
      </c>
    </row>
    <row r="247" spans="1:3" x14ac:dyDescent="0.3">
      <c r="A247" t="s">
        <v>1359</v>
      </c>
      <c r="B247" t="s">
        <v>839</v>
      </c>
      <c r="C247" t="s">
        <v>1360</v>
      </c>
    </row>
    <row r="248" spans="1:3" x14ac:dyDescent="0.3">
      <c r="A248" t="s">
        <v>1361</v>
      </c>
      <c r="B248" t="s">
        <v>840</v>
      </c>
      <c r="C248" t="s">
        <v>1362</v>
      </c>
    </row>
    <row r="249" spans="1:3" x14ac:dyDescent="0.3">
      <c r="A249" t="s">
        <v>1363</v>
      </c>
      <c r="B249" t="s">
        <v>839</v>
      </c>
      <c r="C249" t="s">
        <v>1364</v>
      </c>
    </row>
    <row r="250" spans="1:3" x14ac:dyDescent="0.3">
      <c r="A250" t="s">
        <v>1365</v>
      </c>
      <c r="B250" t="s">
        <v>839</v>
      </c>
      <c r="C250" t="s">
        <v>1366</v>
      </c>
    </row>
    <row r="251" spans="1:3" x14ac:dyDescent="0.3">
      <c r="A251" t="s">
        <v>1367</v>
      </c>
      <c r="B251" t="s">
        <v>840</v>
      </c>
      <c r="C251" t="s">
        <v>1368</v>
      </c>
    </row>
    <row r="252" spans="1:3" x14ac:dyDescent="0.3">
      <c r="A252" t="s">
        <v>1369</v>
      </c>
      <c r="B252" t="s">
        <v>839</v>
      </c>
      <c r="C252" t="s">
        <v>1370</v>
      </c>
    </row>
    <row r="253" spans="1:3" x14ac:dyDescent="0.3">
      <c r="A253" t="s">
        <v>1371</v>
      </c>
      <c r="B253" t="s">
        <v>839</v>
      </c>
      <c r="C253" t="s">
        <v>1372</v>
      </c>
    </row>
    <row r="254" spans="1:3" x14ac:dyDescent="0.3">
      <c r="A254" t="s">
        <v>1373</v>
      </c>
      <c r="B254" t="s">
        <v>839</v>
      </c>
      <c r="C254" t="s">
        <v>1374</v>
      </c>
    </row>
    <row r="255" spans="1:3" x14ac:dyDescent="0.3">
      <c r="A255" t="s">
        <v>1375</v>
      </c>
      <c r="B255" t="s">
        <v>840</v>
      </c>
      <c r="C255" t="s">
        <v>1376</v>
      </c>
    </row>
    <row r="256" spans="1:3" x14ac:dyDescent="0.3">
      <c r="A256" t="s">
        <v>1377</v>
      </c>
      <c r="B256" t="s">
        <v>839</v>
      </c>
      <c r="C256" t="s">
        <v>1378</v>
      </c>
    </row>
    <row r="257" spans="1:3" x14ac:dyDescent="0.3">
      <c r="A257" t="s">
        <v>1379</v>
      </c>
      <c r="B257" t="s">
        <v>840</v>
      </c>
      <c r="C257" t="s">
        <v>1380</v>
      </c>
    </row>
    <row r="258" spans="1:3" x14ac:dyDescent="0.3">
      <c r="A258" t="s">
        <v>1381</v>
      </c>
      <c r="B258" t="s">
        <v>839</v>
      </c>
      <c r="C258" t="s">
        <v>1382</v>
      </c>
    </row>
    <row r="259" spans="1:3" x14ac:dyDescent="0.3">
      <c r="A259" t="s">
        <v>1383</v>
      </c>
      <c r="B259" t="s">
        <v>840</v>
      </c>
      <c r="C259" t="s">
        <v>1384</v>
      </c>
    </row>
    <row r="260" spans="1:3" x14ac:dyDescent="0.3">
      <c r="A260" t="s">
        <v>1385</v>
      </c>
      <c r="B260" t="s">
        <v>839</v>
      </c>
      <c r="C260" t="s">
        <v>1386</v>
      </c>
    </row>
    <row r="261" spans="1:3" x14ac:dyDescent="0.3">
      <c r="A261" t="s">
        <v>1387</v>
      </c>
      <c r="B261" t="s">
        <v>840</v>
      </c>
      <c r="C261" t="s">
        <v>1388</v>
      </c>
    </row>
    <row r="262" spans="1:3" x14ac:dyDescent="0.3">
      <c r="A262" t="s">
        <v>1389</v>
      </c>
      <c r="B262" t="s">
        <v>839</v>
      </c>
      <c r="C262" t="s">
        <v>1390</v>
      </c>
    </row>
    <row r="263" spans="1:3" x14ac:dyDescent="0.3">
      <c r="A263" t="s">
        <v>1391</v>
      </c>
      <c r="B263" t="s">
        <v>839</v>
      </c>
      <c r="C263" t="s">
        <v>1392</v>
      </c>
    </row>
    <row r="264" spans="1:3" x14ac:dyDescent="0.3">
      <c r="A264" t="s">
        <v>1393</v>
      </c>
      <c r="B264" t="s">
        <v>840</v>
      </c>
      <c r="C264" t="s">
        <v>1394</v>
      </c>
    </row>
    <row r="265" spans="1:3" x14ac:dyDescent="0.3">
      <c r="A265" t="s">
        <v>1395</v>
      </c>
      <c r="B265" t="s">
        <v>839</v>
      </c>
      <c r="C265" t="s">
        <v>1396</v>
      </c>
    </row>
    <row r="266" spans="1:3" x14ac:dyDescent="0.3">
      <c r="A266" t="s">
        <v>1397</v>
      </c>
      <c r="B266" t="s">
        <v>840</v>
      </c>
      <c r="C266" t="s">
        <v>1398</v>
      </c>
    </row>
    <row r="267" spans="1:3" x14ac:dyDescent="0.3">
      <c r="A267" t="s">
        <v>1399</v>
      </c>
      <c r="B267" t="s">
        <v>840</v>
      </c>
      <c r="C267" t="s">
        <v>1400</v>
      </c>
    </row>
    <row r="268" spans="1:3" x14ac:dyDescent="0.3">
      <c r="A268" t="s">
        <v>1401</v>
      </c>
      <c r="B268" t="s">
        <v>839</v>
      </c>
      <c r="C268" t="s">
        <v>1402</v>
      </c>
    </row>
    <row r="269" spans="1:3" x14ac:dyDescent="0.3">
      <c r="A269" t="s">
        <v>1403</v>
      </c>
      <c r="B269" t="s">
        <v>839</v>
      </c>
      <c r="C269" t="s">
        <v>1404</v>
      </c>
    </row>
    <row r="270" spans="1:3" x14ac:dyDescent="0.3">
      <c r="A270" t="s">
        <v>1405</v>
      </c>
      <c r="B270" t="s">
        <v>839</v>
      </c>
      <c r="C270" t="s">
        <v>1406</v>
      </c>
    </row>
    <row r="271" spans="1:3" x14ac:dyDescent="0.3">
      <c r="A271" t="s">
        <v>1407</v>
      </c>
      <c r="B271" t="s">
        <v>840</v>
      </c>
      <c r="C271" t="s">
        <v>1408</v>
      </c>
    </row>
    <row r="272" spans="1:3" x14ac:dyDescent="0.3">
      <c r="A272" t="s">
        <v>1409</v>
      </c>
      <c r="B272" t="s">
        <v>839</v>
      </c>
      <c r="C272" t="s">
        <v>1410</v>
      </c>
    </row>
    <row r="273" spans="1:3" x14ac:dyDescent="0.3">
      <c r="A273" t="s">
        <v>1411</v>
      </c>
      <c r="B273" t="s">
        <v>840</v>
      </c>
      <c r="C273" t="s">
        <v>1412</v>
      </c>
    </row>
    <row r="274" spans="1:3" x14ac:dyDescent="0.3">
      <c r="A274" t="s">
        <v>1413</v>
      </c>
      <c r="B274" t="s">
        <v>839</v>
      </c>
      <c r="C274" t="s">
        <v>1414</v>
      </c>
    </row>
    <row r="275" spans="1:3" x14ac:dyDescent="0.3">
      <c r="A275" t="s">
        <v>1415</v>
      </c>
      <c r="B275" t="s">
        <v>840</v>
      </c>
      <c r="C275" t="s">
        <v>1416</v>
      </c>
    </row>
    <row r="276" spans="1:3" x14ac:dyDescent="0.3">
      <c r="A276" t="s">
        <v>1417</v>
      </c>
      <c r="B276" t="s">
        <v>839</v>
      </c>
      <c r="C276" t="s">
        <v>1418</v>
      </c>
    </row>
    <row r="277" spans="1:3" x14ac:dyDescent="0.3">
      <c r="A277" t="s">
        <v>1419</v>
      </c>
      <c r="B277" t="s">
        <v>839</v>
      </c>
      <c r="C277" t="s">
        <v>1420</v>
      </c>
    </row>
    <row r="278" spans="1:3" x14ac:dyDescent="0.3">
      <c r="A278" t="s">
        <v>1421</v>
      </c>
      <c r="B278" t="s">
        <v>839</v>
      </c>
      <c r="C278" t="s">
        <v>1422</v>
      </c>
    </row>
    <row r="279" spans="1:3" x14ac:dyDescent="0.3">
      <c r="A279" t="s">
        <v>1423</v>
      </c>
      <c r="B279" t="s">
        <v>839</v>
      </c>
      <c r="C279" t="s">
        <v>1424</v>
      </c>
    </row>
    <row r="280" spans="1:3" x14ac:dyDescent="0.3">
      <c r="A280" t="s">
        <v>1425</v>
      </c>
      <c r="B280" t="s">
        <v>840</v>
      </c>
      <c r="C280" t="s">
        <v>1426</v>
      </c>
    </row>
    <row r="281" spans="1:3" x14ac:dyDescent="0.3">
      <c r="A281" t="s">
        <v>1427</v>
      </c>
      <c r="B281" t="s">
        <v>839</v>
      </c>
      <c r="C281" t="s">
        <v>1428</v>
      </c>
    </row>
    <row r="282" spans="1:3" x14ac:dyDescent="0.3">
      <c r="A282" t="s">
        <v>1429</v>
      </c>
      <c r="B282" t="s">
        <v>840</v>
      </c>
      <c r="C282" t="s">
        <v>1430</v>
      </c>
    </row>
    <row r="283" spans="1:3" x14ac:dyDescent="0.3">
      <c r="A283" t="s">
        <v>1431</v>
      </c>
      <c r="B283" t="s">
        <v>839</v>
      </c>
      <c r="C283" t="s">
        <v>1432</v>
      </c>
    </row>
    <row r="284" spans="1:3" x14ac:dyDescent="0.3">
      <c r="A284" t="s">
        <v>1433</v>
      </c>
      <c r="B284" t="s">
        <v>840</v>
      </c>
      <c r="C284" t="s">
        <v>1434</v>
      </c>
    </row>
    <row r="285" spans="1:3" x14ac:dyDescent="0.3">
      <c r="A285" t="s">
        <v>1435</v>
      </c>
      <c r="B285" t="s">
        <v>840</v>
      </c>
      <c r="C285" t="s">
        <v>1436</v>
      </c>
    </row>
    <row r="286" spans="1:3" x14ac:dyDescent="0.3">
      <c r="A286" t="s">
        <v>1437</v>
      </c>
      <c r="B286" t="s">
        <v>839</v>
      </c>
      <c r="C286" t="s">
        <v>1438</v>
      </c>
    </row>
    <row r="287" spans="1:3" x14ac:dyDescent="0.3">
      <c r="A287" t="s">
        <v>1439</v>
      </c>
      <c r="B287" t="s">
        <v>839</v>
      </c>
      <c r="C287" t="s">
        <v>1440</v>
      </c>
    </row>
    <row r="288" spans="1:3" x14ac:dyDescent="0.3">
      <c r="A288" t="s">
        <v>1441</v>
      </c>
      <c r="B288" t="s">
        <v>839</v>
      </c>
      <c r="C288" t="s">
        <v>1442</v>
      </c>
    </row>
    <row r="289" spans="1:3" x14ac:dyDescent="0.3">
      <c r="A289" t="s">
        <v>1443</v>
      </c>
      <c r="B289" t="s">
        <v>839</v>
      </c>
      <c r="C289" t="s">
        <v>1444</v>
      </c>
    </row>
    <row r="290" spans="1:3" x14ac:dyDescent="0.3">
      <c r="A290" t="s">
        <v>1445</v>
      </c>
      <c r="B290" t="s">
        <v>839</v>
      </c>
      <c r="C290" t="s">
        <v>1446</v>
      </c>
    </row>
    <row r="291" spans="1:3" x14ac:dyDescent="0.3">
      <c r="A291" t="s">
        <v>1447</v>
      </c>
      <c r="B291" t="s">
        <v>839</v>
      </c>
      <c r="C291" t="s">
        <v>1448</v>
      </c>
    </row>
    <row r="292" spans="1:3" x14ac:dyDescent="0.3">
      <c r="A292" t="s">
        <v>1449</v>
      </c>
      <c r="B292" t="s">
        <v>839</v>
      </c>
      <c r="C292" t="s">
        <v>1450</v>
      </c>
    </row>
    <row r="293" spans="1:3" x14ac:dyDescent="0.3">
      <c r="A293" t="s">
        <v>1451</v>
      </c>
      <c r="B293" t="s">
        <v>839</v>
      </c>
      <c r="C293" t="s">
        <v>1452</v>
      </c>
    </row>
    <row r="294" spans="1:3" x14ac:dyDescent="0.3">
      <c r="A294" t="s">
        <v>1453</v>
      </c>
      <c r="B294" t="s">
        <v>839</v>
      </c>
      <c r="C294" t="s">
        <v>1454</v>
      </c>
    </row>
    <row r="295" spans="1:3" x14ac:dyDescent="0.3">
      <c r="A295" t="s">
        <v>1455</v>
      </c>
      <c r="B295" t="s">
        <v>839</v>
      </c>
      <c r="C295" t="s">
        <v>1456</v>
      </c>
    </row>
    <row r="296" spans="1:3" x14ac:dyDescent="0.3">
      <c r="A296" t="s">
        <v>1457</v>
      </c>
      <c r="B296" t="s">
        <v>839</v>
      </c>
      <c r="C296" t="s">
        <v>1458</v>
      </c>
    </row>
    <row r="297" spans="1:3" x14ac:dyDescent="0.3">
      <c r="A297" t="s">
        <v>1459</v>
      </c>
      <c r="B297" t="s">
        <v>839</v>
      </c>
      <c r="C297" t="s">
        <v>1460</v>
      </c>
    </row>
    <row r="298" spans="1:3" x14ac:dyDescent="0.3">
      <c r="A298" t="s">
        <v>1461</v>
      </c>
      <c r="B298" t="s">
        <v>839</v>
      </c>
      <c r="C298" t="s">
        <v>1462</v>
      </c>
    </row>
    <row r="299" spans="1:3" x14ac:dyDescent="0.3">
      <c r="A299" t="s">
        <v>1463</v>
      </c>
      <c r="B299" t="s">
        <v>839</v>
      </c>
      <c r="C299" t="s">
        <v>1464</v>
      </c>
    </row>
    <row r="300" spans="1:3" x14ac:dyDescent="0.3">
      <c r="A300" t="s">
        <v>1465</v>
      </c>
      <c r="B300" t="s">
        <v>840</v>
      </c>
      <c r="C300" t="s">
        <v>1466</v>
      </c>
    </row>
    <row r="301" spans="1:3" x14ac:dyDescent="0.3">
      <c r="A301" t="s">
        <v>1467</v>
      </c>
      <c r="B301" t="s">
        <v>839</v>
      </c>
      <c r="C301" t="s">
        <v>1468</v>
      </c>
    </row>
    <row r="302" spans="1:3" x14ac:dyDescent="0.3">
      <c r="A302" t="s">
        <v>1469</v>
      </c>
      <c r="B302" t="s">
        <v>839</v>
      </c>
      <c r="C302" t="s">
        <v>1470</v>
      </c>
    </row>
    <row r="303" spans="1:3" x14ac:dyDescent="0.3">
      <c r="A303" t="s">
        <v>1471</v>
      </c>
      <c r="B303" t="s">
        <v>840</v>
      </c>
      <c r="C303" t="s">
        <v>1472</v>
      </c>
    </row>
    <row r="304" spans="1:3" x14ac:dyDescent="0.3">
      <c r="A304" t="s">
        <v>1473</v>
      </c>
      <c r="B304" t="s">
        <v>840</v>
      </c>
      <c r="C304" t="s">
        <v>1474</v>
      </c>
    </row>
    <row r="305" spans="1:3" x14ac:dyDescent="0.3">
      <c r="A305" t="s">
        <v>1475</v>
      </c>
      <c r="B305" t="s">
        <v>840</v>
      </c>
      <c r="C305" t="s">
        <v>1476</v>
      </c>
    </row>
    <row r="306" spans="1:3" x14ac:dyDescent="0.3">
      <c r="A306" t="s">
        <v>1477</v>
      </c>
      <c r="B306" t="s">
        <v>839</v>
      </c>
      <c r="C306" t="s">
        <v>1478</v>
      </c>
    </row>
    <row r="307" spans="1:3" x14ac:dyDescent="0.3">
      <c r="A307" t="s">
        <v>1479</v>
      </c>
      <c r="B307" t="s">
        <v>839</v>
      </c>
      <c r="C307" t="s">
        <v>1480</v>
      </c>
    </row>
    <row r="308" spans="1:3" x14ac:dyDescent="0.3">
      <c r="A308" t="s">
        <v>1481</v>
      </c>
      <c r="B308" t="s">
        <v>840</v>
      </c>
      <c r="C308" t="s">
        <v>1482</v>
      </c>
    </row>
    <row r="309" spans="1:3" x14ac:dyDescent="0.3">
      <c r="A309" t="s">
        <v>1483</v>
      </c>
      <c r="B309" t="s">
        <v>840</v>
      </c>
      <c r="C309" t="s">
        <v>1484</v>
      </c>
    </row>
    <row r="310" spans="1:3" x14ac:dyDescent="0.3">
      <c r="A310" t="s">
        <v>1483</v>
      </c>
      <c r="B310" t="s">
        <v>839</v>
      </c>
      <c r="C310" t="s">
        <v>1485</v>
      </c>
    </row>
    <row r="311" spans="1:3" x14ac:dyDescent="0.3">
      <c r="A311" t="s">
        <v>1486</v>
      </c>
      <c r="B311" t="s">
        <v>839</v>
      </c>
      <c r="C311" t="s">
        <v>1487</v>
      </c>
    </row>
    <row r="312" spans="1:3" x14ac:dyDescent="0.3">
      <c r="A312" t="s">
        <v>1488</v>
      </c>
      <c r="B312" t="s">
        <v>839</v>
      </c>
      <c r="C312" t="s">
        <v>1489</v>
      </c>
    </row>
    <row r="313" spans="1:3" x14ac:dyDescent="0.3">
      <c r="A313" t="s">
        <v>1490</v>
      </c>
      <c r="B313" t="s">
        <v>839</v>
      </c>
      <c r="C313" t="s">
        <v>1491</v>
      </c>
    </row>
    <row r="314" spans="1:3" x14ac:dyDescent="0.3">
      <c r="A314" t="s">
        <v>1492</v>
      </c>
      <c r="B314" t="s">
        <v>840</v>
      </c>
      <c r="C314" t="s">
        <v>1493</v>
      </c>
    </row>
    <row r="315" spans="1:3" x14ac:dyDescent="0.3">
      <c r="A315" t="s">
        <v>1494</v>
      </c>
      <c r="B315" t="s">
        <v>840</v>
      </c>
      <c r="C315" t="s">
        <v>1495</v>
      </c>
    </row>
    <row r="316" spans="1:3" x14ac:dyDescent="0.3">
      <c r="A316" t="s">
        <v>1496</v>
      </c>
      <c r="B316" t="s">
        <v>839</v>
      </c>
      <c r="C316" t="s">
        <v>1497</v>
      </c>
    </row>
    <row r="317" spans="1:3" x14ac:dyDescent="0.3">
      <c r="A317" t="s">
        <v>1498</v>
      </c>
      <c r="B317" t="s">
        <v>840</v>
      </c>
      <c r="C317" t="s">
        <v>1499</v>
      </c>
    </row>
    <row r="318" spans="1:3" x14ac:dyDescent="0.3">
      <c r="A318" t="s">
        <v>1500</v>
      </c>
      <c r="B318" t="s">
        <v>839</v>
      </c>
      <c r="C318" t="s">
        <v>1501</v>
      </c>
    </row>
    <row r="319" spans="1:3" x14ac:dyDescent="0.3">
      <c r="A319" t="s">
        <v>1502</v>
      </c>
      <c r="B319" t="s">
        <v>840</v>
      </c>
      <c r="C319" t="s">
        <v>1503</v>
      </c>
    </row>
    <row r="320" spans="1:3" x14ac:dyDescent="0.3">
      <c r="A320" t="s">
        <v>1504</v>
      </c>
      <c r="B320" t="s">
        <v>839</v>
      </c>
      <c r="C320" t="s">
        <v>1505</v>
      </c>
    </row>
    <row r="321" spans="1:3" x14ac:dyDescent="0.3">
      <c r="A321" t="s">
        <v>1506</v>
      </c>
      <c r="B321" t="s">
        <v>839</v>
      </c>
      <c r="C321" t="s">
        <v>1507</v>
      </c>
    </row>
    <row r="322" spans="1:3" x14ac:dyDescent="0.3">
      <c r="A322" t="s">
        <v>1508</v>
      </c>
      <c r="B322" t="s">
        <v>840</v>
      </c>
      <c r="C322" t="s">
        <v>1509</v>
      </c>
    </row>
    <row r="323" spans="1:3" x14ac:dyDescent="0.3">
      <c r="A323" t="s">
        <v>1510</v>
      </c>
      <c r="B323" t="s">
        <v>839</v>
      </c>
      <c r="C323" t="s">
        <v>1511</v>
      </c>
    </row>
    <row r="324" spans="1:3" x14ac:dyDescent="0.3">
      <c r="A324" t="s">
        <v>1512</v>
      </c>
      <c r="B324" t="s">
        <v>839</v>
      </c>
      <c r="C324" t="s">
        <v>1513</v>
      </c>
    </row>
    <row r="325" spans="1:3" x14ac:dyDescent="0.3">
      <c r="A325" t="s">
        <v>1514</v>
      </c>
      <c r="B325" t="s">
        <v>839</v>
      </c>
      <c r="C325" t="s">
        <v>1515</v>
      </c>
    </row>
    <row r="326" spans="1:3" x14ac:dyDescent="0.3">
      <c r="A326" t="s">
        <v>1516</v>
      </c>
      <c r="B326" t="s">
        <v>839</v>
      </c>
      <c r="C326" t="s">
        <v>1517</v>
      </c>
    </row>
    <row r="327" spans="1:3" x14ac:dyDescent="0.3">
      <c r="A327" t="s">
        <v>1518</v>
      </c>
      <c r="B327" t="s">
        <v>839</v>
      </c>
      <c r="C327" t="s">
        <v>1519</v>
      </c>
    </row>
    <row r="328" spans="1:3" x14ac:dyDescent="0.3">
      <c r="A328" t="s">
        <v>1520</v>
      </c>
      <c r="B328" t="s">
        <v>839</v>
      </c>
      <c r="C328" t="s">
        <v>1521</v>
      </c>
    </row>
    <row r="329" spans="1:3" x14ac:dyDescent="0.3">
      <c r="A329" t="s">
        <v>1522</v>
      </c>
      <c r="B329" t="s">
        <v>839</v>
      </c>
      <c r="C329" t="s">
        <v>1523</v>
      </c>
    </row>
    <row r="330" spans="1:3" x14ac:dyDescent="0.3">
      <c r="A330" t="s">
        <v>1524</v>
      </c>
      <c r="B330" t="s">
        <v>839</v>
      </c>
      <c r="C330" t="s">
        <v>1525</v>
      </c>
    </row>
    <row r="331" spans="1:3" x14ac:dyDescent="0.3">
      <c r="A331" t="s">
        <v>1526</v>
      </c>
      <c r="B331" t="s">
        <v>839</v>
      </c>
      <c r="C331" t="s">
        <v>1527</v>
      </c>
    </row>
    <row r="332" spans="1:3" x14ac:dyDescent="0.3">
      <c r="A332" t="s">
        <v>1528</v>
      </c>
      <c r="B332" t="s">
        <v>839</v>
      </c>
      <c r="C332" t="s">
        <v>1529</v>
      </c>
    </row>
    <row r="333" spans="1:3" x14ac:dyDescent="0.3">
      <c r="A333" t="s">
        <v>1530</v>
      </c>
      <c r="B333" t="s">
        <v>840</v>
      </c>
      <c r="C333" t="s">
        <v>1531</v>
      </c>
    </row>
    <row r="334" spans="1:3" x14ac:dyDescent="0.3">
      <c r="A334" t="s">
        <v>1532</v>
      </c>
      <c r="B334" t="s">
        <v>840</v>
      </c>
      <c r="C334" t="s">
        <v>1533</v>
      </c>
    </row>
    <row r="335" spans="1:3" x14ac:dyDescent="0.3">
      <c r="A335" t="s">
        <v>1534</v>
      </c>
      <c r="B335" t="s">
        <v>840</v>
      </c>
      <c r="C335" t="s">
        <v>1535</v>
      </c>
    </row>
    <row r="336" spans="1:3" x14ac:dyDescent="0.3">
      <c r="A336" t="s">
        <v>1536</v>
      </c>
      <c r="B336" t="s">
        <v>839</v>
      </c>
      <c r="C336" t="s">
        <v>1537</v>
      </c>
    </row>
    <row r="337" spans="1:3" x14ac:dyDescent="0.3">
      <c r="A337" t="s">
        <v>1538</v>
      </c>
      <c r="B337" t="s">
        <v>839</v>
      </c>
      <c r="C337" t="s">
        <v>1539</v>
      </c>
    </row>
    <row r="338" spans="1:3" x14ac:dyDescent="0.3">
      <c r="A338" t="s">
        <v>1540</v>
      </c>
      <c r="B338" t="s">
        <v>839</v>
      </c>
      <c r="C338" t="s">
        <v>1541</v>
      </c>
    </row>
    <row r="339" spans="1:3" x14ac:dyDescent="0.3">
      <c r="A339" t="s">
        <v>1542</v>
      </c>
      <c r="B339" t="s">
        <v>839</v>
      </c>
      <c r="C339" t="s">
        <v>1543</v>
      </c>
    </row>
    <row r="340" spans="1:3" x14ac:dyDescent="0.3">
      <c r="A340" t="s">
        <v>1544</v>
      </c>
      <c r="B340" t="s">
        <v>839</v>
      </c>
      <c r="C340" t="s">
        <v>1545</v>
      </c>
    </row>
    <row r="341" spans="1:3" x14ac:dyDescent="0.3">
      <c r="A341" t="s">
        <v>1546</v>
      </c>
      <c r="B341" t="s">
        <v>839</v>
      </c>
      <c r="C341" t="s">
        <v>1547</v>
      </c>
    </row>
    <row r="342" spans="1:3" x14ac:dyDescent="0.3">
      <c r="A342" t="s">
        <v>1548</v>
      </c>
      <c r="B342" t="s">
        <v>839</v>
      </c>
      <c r="C342" t="s">
        <v>1549</v>
      </c>
    </row>
    <row r="343" spans="1:3" x14ac:dyDescent="0.3">
      <c r="A343" t="s">
        <v>1550</v>
      </c>
      <c r="B343" t="s">
        <v>839</v>
      </c>
      <c r="C343" t="s">
        <v>1551</v>
      </c>
    </row>
    <row r="344" spans="1:3" x14ac:dyDescent="0.3">
      <c r="A344" t="s">
        <v>1552</v>
      </c>
      <c r="B344" t="s">
        <v>839</v>
      </c>
      <c r="C344" t="s">
        <v>1553</v>
      </c>
    </row>
    <row r="345" spans="1:3" x14ac:dyDescent="0.3">
      <c r="A345" t="s">
        <v>1554</v>
      </c>
      <c r="B345" t="s">
        <v>839</v>
      </c>
      <c r="C345" t="s">
        <v>1555</v>
      </c>
    </row>
    <row r="346" spans="1:3" x14ac:dyDescent="0.3">
      <c r="A346" t="s">
        <v>1556</v>
      </c>
      <c r="B346" t="s">
        <v>839</v>
      </c>
      <c r="C346" t="s">
        <v>1557</v>
      </c>
    </row>
    <row r="347" spans="1:3" x14ac:dyDescent="0.3">
      <c r="A347" t="s">
        <v>1558</v>
      </c>
      <c r="B347" t="s">
        <v>839</v>
      </c>
      <c r="C347" t="s">
        <v>1559</v>
      </c>
    </row>
    <row r="348" spans="1:3" x14ac:dyDescent="0.3">
      <c r="A348" t="s">
        <v>1560</v>
      </c>
      <c r="B348" t="s">
        <v>839</v>
      </c>
      <c r="C348" t="s">
        <v>1561</v>
      </c>
    </row>
    <row r="349" spans="1:3" x14ac:dyDescent="0.3">
      <c r="A349" t="s">
        <v>1562</v>
      </c>
      <c r="B349" t="s">
        <v>839</v>
      </c>
      <c r="C349" t="s">
        <v>1563</v>
      </c>
    </row>
    <row r="350" spans="1:3" x14ac:dyDescent="0.3">
      <c r="A350" t="s">
        <v>1564</v>
      </c>
      <c r="B350" t="s">
        <v>839</v>
      </c>
      <c r="C350" t="s">
        <v>1565</v>
      </c>
    </row>
    <row r="351" spans="1:3" x14ac:dyDescent="0.3">
      <c r="A351" t="s">
        <v>1566</v>
      </c>
      <c r="B351" t="s">
        <v>839</v>
      </c>
      <c r="C351" t="s">
        <v>1567</v>
      </c>
    </row>
    <row r="352" spans="1:3" x14ac:dyDescent="0.3">
      <c r="A352" t="s">
        <v>1568</v>
      </c>
      <c r="B352" t="s">
        <v>839</v>
      </c>
      <c r="C352" t="s">
        <v>1569</v>
      </c>
    </row>
    <row r="353" spans="1:3" x14ac:dyDescent="0.3">
      <c r="A353" t="s">
        <v>1570</v>
      </c>
      <c r="B353" t="s">
        <v>840</v>
      </c>
      <c r="C353" t="s">
        <v>1571</v>
      </c>
    </row>
    <row r="354" spans="1:3" x14ac:dyDescent="0.3">
      <c r="A354" t="s">
        <v>1572</v>
      </c>
      <c r="B354" t="s">
        <v>840</v>
      </c>
      <c r="C354" t="s">
        <v>1573</v>
      </c>
    </row>
    <row r="355" spans="1:3" x14ac:dyDescent="0.3">
      <c r="A355" t="s">
        <v>1574</v>
      </c>
      <c r="B355" t="s">
        <v>839</v>
      </c>
      <c r="C355" t="s">
        <v>1575</v>
      </c>
    </row>
    <row r="356" spans="1:3" x14ac:dyDescent="0.3">
      <c r="A356" t="s">
        <v>1576</v>
      </c>
      <c r="B356" t="s">
        <v>839</v>
      </c>
      <c r="C356" t="s">
        <v>1577</v>
      </c>
    </row>
    <row r="357" spans="1:3" x14ac:dyDescent="0.3">
      <c r="A357" t="s">
        <v>1578</v>
      </c>
      <c r="B357" t="s">
        <v>839</v>
      </c>
      <c r="C357" t="s">
        <v>1579</v>
      </c>
    </row>
    <row r="358" spans="1:3" x14ac:dyDescent="0.3">
      <c r="A358" t="s">
        <v>1580</v>
      </c>
      <c r="B358" t="s">
        <v>839</v>
      </c>
      <c r="C358" t="s">
        <v>1581</v>
      </c>
    </row>
    <row r="359" spans="1:3" x14ac:dyDescent="0.3">
      <c r="A359" t="s">
        <v>1582</v>
      </c>
      <c r="B359" t="s">
        <v>840</v>
      </c>
      <c r="C359" t="s">
        <v>1583</v>
      </c>
    </row>
    <row r="360" spans="1:3" x14ac:dyDescent="0.3">
      <c r="A360" t="s">
        <v>1584</v>
      </c>
      <c r="B360" t="s">
        <v>839</v>
      </c>
      <c r="C360" t="s">
        <v>1585</v>
      </c>
    </row>
    <row r="361" spans="1:3" x14ac:dyDescent="0.3">
      <c r="A361" t="s">
        <v>1586</v>
      </c>
      <c r="B361" t="s">
        <v>839</v>
      </c>
      <c r="C361" t="s">
        <v>1587</v>
      </c>
    </row>
    <row r="362" spans="1:3" x14ac:dyDescent="0.3">
      <c r="A362" t="s">
        <v>1588</v>
      </c>
      <c r="B362" t="s">
        <v>839</v>
      </c>
      <c r="C362" t="s">
        <v>1589</v>
      </c>
    </row>
    <row r="363" spans="1:3" x14ac:dyDescent="0.3">
      <c r="A363" t="s">
        <v>1590</v>
      </c>
      <c r="B363" t="s">
        <v>840</v>
      </c>
      <c r="C363" t="s">
        <v>1591</v>
      </c>
    </row>
    <row r="364" spans="1:3" x14ac:dyDescent="0.3">
      <c r="A364" t="s">
        <v>1592</v>
      </c>
      <c r="B364" t="s">
        <v>839</v>
      </c>
      <c r="C364" t="s">
        <v>1593</v>
      </c>
    </row>
    <row r="365" spans="1:3" x14ac:dyDescent="0.3">
      <c r="A365" t="s">
        <v>1594</v>
      </c>
      <c r="B365" t="s">
        <v>840</v>
      </c>
      <c r="C365" t="s">
        <v>1595</v>
      </c>
    </row>
    <row r="366" spans="1:3" x14ac:dyDescent="0.3">
      <c r="A366" t="s">
        <v>1596</v>
      </c>
      <c r="B366" t="s">
        <v>840</v>
      </c>
      <c r="C366" t="s">
        <v>1597</v>
      </c>
    </row>
    <row r="367" spans="1:3" x14ac:dyDescent="0.3">
      <c r="A367" t="s">
        <v>1598</v>
      </c>
      <c r="B367" t="s">
        <v>840</v>
      </c>
      <c r="C367" t="s">
        <v>1599</v>
      </c>
    </row>
    <row r="368" spans="1:3" x14ac:dyDescent="0.3">
      <c r="A368" t="s">
        <v>1600</v>
      </c>
      <c r="B368" t="s">
        <v>840</v>
      </c>
      <c r="C368" t="s">
        <v>1601</v>
      </c>
    </row>
    <row r="369" spans="1:3" x14ac:dyDescent="0.3">
      <c r="A369" t="s">
        <v>1602</v>
      </c>
      <c r="B369" t="s">
        <v>840</v>
      </c>
      <c r="C369" t="s">
        <v>1603</v>
      </c>
    </row>
    <row r="370" spans="1:3" x14ac:dyDescent="0.3">
      <c r="A370" t="s">
        <v>1604</v>
      </c>
      <c r="B370" t="s">
        <v>839</v>
      </c>
      <c r="C370" t="s">
        <v>1605</v>
      </c>
    </row>
    <row r="371" spans="1:3" x14ac:dyDescent="0.3">
      <c r="A371" t="s">
        <v>1606</v>
      </c>
      <c r="B371" t="s">
        <v>839</v>
      </c>
      <c r="C371" t="s">
        <v>1607</v>
      </c>
    </row>
    <row r="372" spans="1:3" x14ac:dyDescent="0.3">
      <c r="A372" t="s">
        <v>1608</v>
      </c>
      <c r="B372" t="s">
        <v>839</v>
      </c>
      <c r="C372" t="s">
        <v>1609</v>
      </c>
    </row>
    <row r="373" spans="1:3" x14ac:dyDescent="0.3">
      <c r="A373" t="s">
        <v>1610</v>
      </c>
      <c r="B373" t="s">
        <v>839</v>
      </c>
      <c r="C373" t="s">
        <v>1611</v>
      </c>
    </row>
    <row r="374" spans="1:3" x14ac:dyDescent="0.3">
      <c r="A374" t="s">
        <v>1612</v>
      </c>
      <c r="B374" t="s">
        <v>839</v>
      </c>
      <c r="C374" t="s">
        <v>1613</v>
      </c>
    </row>
    <row r="375" spans="1:3" x14ac:dyDescent="0.3">
      <c r="A375" t="s">
        <v>1614</v>
      </c>
      <c r="B375" t="s">
        <v>840</v>
      </c>
      <c r="C375" t="s">
        <v>1615</v>
      </c>
    </row>
    <row r="376" spans="1:3" x14ac:dyDescent="0.3">
      <c r="A376" t="s">
        <v>1616</v>
      </c>
      <c r="B376" t="s">
        <v>840</v>
      </c>
      <c r="C376" t="s">
        <v>1617</v>
      </c>
    </row>
    <row r="377" spans="1:3" x14ac:dyDescent="0.3">
      <c r="A377" t="s">
        <v>1618</v>
      </c>
      <c r="B377" t="s">
        <v>840</v>
      </c>
      <c r="C377" t="s">
        <v>1619</v>
      </c>
    </row>
    <row r="378" spans="1:3" x14ac:dyDescent="0.3">
      <c r="A378" t="s">
        <v>1620</v>
      </c>
      <c r="B378" t="s">
        <v>840</v>
      </c>
      <c r="C378" t="s">
        <v>1621</v>
      </c>
    </row>
    <row r="379" spans="1:3" x14ac:dyDescent="0.3">
      <c r="A379" t="s">
        <v>1622</v>
      </c>
      <c r="B379" t="s">
        <v>840</v>
      </c>
      <c r="C379" t="s">
        <v>1623</v>
      </c>
    </row>
    <row r="380" spans="1:3" x14ac:dyDescent="0.3">
      <c r="A380" t="s">
        <v>1624</v>
      </c>
      <c r="B380" t="s">
        <v>839</v>
      </c>
      <c r="C380" t="s">
        <v>1625</v>
      </c>
    </row>
    <row r="381" spans="1:3" x14ac:dyDescent="0.3">
      <c r="A381" t="s">
        <v>1626</v>
      </c>
      <c r="B381" t="s">
        <v>839</v>
      </c>
      <c r="C381" t="s">
        <v>1627</v>
      </c>
    </row>
    <row r="382" spans="1:3" x14ac:dyDescent="0.3">
      <c r="A382" t="s">
        <v>1628</v>
      </c>
      <c r="B382" t="s">
        <v>839</v>
      </c>
      <c r="C382" t="s">
        <v>1629</v>
      </c>
    </row>
    <row r="383" spans="1:3" x14ac:dyDescent="0.3">
      <c r="A383" t="s">
        <v>1630</v>
      </c>
      <c r="B383" t="s">
        <v>839</v>
      </c>
      <c r="C383" t="s">
        <v>1631</v>
      </c>
    </row>
    <row r="384" spans="1:3" x14ac:dyDescent="0.3">
      <c r="A384" t="s">
        <v>1632</v>
      </c>
      <c r="B384" t="s">
        <v>839</v>
      </c>
      <c r="C384" t="s">
        <v>1633</v>
      </c>
    </row>
    <row r="385" spans="1:3" x14ac:dyDescent="0.3">
      <c r="A385" t="s">
        <v>1634</v>
      </c>
      <c r="B385" t="s">
        <v>839</v>
      </c>
      <c r="C385" t="s">
        <v>1635</v>
      </c>
    </row>
    <row r="386" spans="1:3" x14ac:dyDescent="0.3">
      <c r="A386" t="s">
        <v>1636</v>
      </c>
      <c r="B386" t="s">
        <v>840</v>
      </c>
      <c r="C386" t="s">
        <v>1637</v>
      </c>
    </row>
    <row r="387" spans="1:3" x14ac:dyDescent="0.3">
      <c r="A387" t="s">
        <v>1638</v>
      </c>
      <c r="B387" t="s">
        <v>840</v>
      </c>
      <c r="C387" t="s">
        <v>1639</v>
      </c>
    </row>
    <row r="388" spans="1:3" x14ac:dyDescent="0.3">
      <c r="A388" t="s">
        <v>1640</v>
      </c>
      <c r="B388" t="s">
        <v>840</v>
      </c>
      <c r="C388" t="s">
        <v>1641</v>
      </c>
    </row>
    <row r="389" spans="1:3" x14ac:dyDescent="0.3">
      <c r="A389" t="s">
        <v>1642</v>
      </c>
      <c r="B389" t="s">
        <v>840</v>
      </c>
      <c r="C389" t="s">
        <v>1643</v>
      </c>
    </row>
    <row r="390" spans="1:3" x14ac:dyDescent="0.3">
      <c r="A390" t="s">
        <v>1644</v>
      </c>
      <c r="B390" t="s">
        <v>839</v>
      </c>
      <c r="C390" t="s">
        <v>1645</v>
      </c>
    </row>
    <row r="391" spans="1:3" x14ac:dyDescent="0.3">
      <c r="A391" t="s">
        <v>1646</v>
      </c>
      <c r="B391" t="s">
        <v>839</v>
      </c>
      <c r="C391" t="s">
        <v>1647</v>
      </c>
    </row>
    <row r="392" spans="1:3" x14ac:dyDescent="0.3">
      <c r="A392" t="s">
        <v>1648</v>
      </c>
      <c r="B392" t="s">
        <v>839</v>
      </c>
      <c r="C392" t="s">
        <v>1649</v>
      </c>
    </row>
    <row r="393" spans="1:3" x14ac:dyDescent="0.3">
      <c r="A393" t="s">
        <v>1650</v>
      </c>
      <c r="B393" t="s">
        <v>839</v>
      </c>
      <c r="C393" t="s">
        <v>1651</v>
      </c>
    </row>
    <row r="394" spans="1:3" x14ac:dyDescent="0.3">
      <c r="A394" t="s">
        <v>1652</v>
      </c>
      <c r="B394" t="s">
        <v>839</v>
      </c>
      <c r="C394" t="s">
        <v>1653</v>
      </c>
    </row>
    <row r="395" spans="1:3" x14ac:dyDescent="0.3">
      <c r="A395" t="s">
        <v>1654</v>
      </c>
      <c r="B395" t="s">
        <v>839</v>
      </c>
      <c r="C395" t="s">
        <v>1655</v>
      </c>
    </row>
    <row r="396" spans="1:3" x14ac:dyDescent="0.3">
      <c r="A396" t="s">
        <v>1656</v>
      </c>
      <c r="B396" t="s">
        <v>840</v>
      </c>
      <c r="C396" t="s">
        <v>1657</v>
      </c>
    </row>
    <row r="397" spans="1:3" x14ac:dyDescent="0.3">
      <c r="A397" t="s">
        <v>1658</v>
      </c>
      <c r="B397" t="s">
        <v>839</v>
      </c>
      <c r="C397" t="s">
        <v>1659</v>
      </c>
    </row>
    <row r="398" spans="1:3" x14ac:dyDescent="0.3">
      <c r="A398" t="s">
        <v>1660</v>
      </c>
      <c r="B398" t="s">
        <v>839</v>
      </c>
      <c r="C398" t="s">
        <v>1661</v>
      </c>
    </row>
    <row r="399" spans="1:3" x14ac:dyDescent="0.3">
      <c r="A399" t="s">
        <v>1662</v>
      </c>
      <c r="B399" t="s">
        <v>840</v>
      </c>
      <c r="C399" t="s">
        <v>1663</v>
      </c>
    </row>
    <row r="400" spans="1:3" x14ac:dyDescent="0.3">
      <c r="A400" t="s">
        <v>1664</v>
      </c>
      <c r="B400" t="s">
        <v>839</v>
      </c>
      <c r="C400" t="s">
        <v>1665</v>
      </c>
    </row>
    <row r="401" spans="1:3" x14ac:dyDescent="0.3">
      <c r="A401" t="s">
        <v>1666</v>
      </c>
      <c r="B401" t="s">
        <v>839</v>
      </c>
      <c r="C401" t="s">
        <v>1667</v>
      </c>
    </row>
    <row r="402" spans="1:3" x14ac:dyDescent="0.3">
      <c r="A402" t="s">
        <v>1668</v>
      </c>
      <c r="B402" t="s">
        <v>839</v>
      </c>
      <c r="C402" t="s">
        <v>1669</v>
      </c>
    </row>
    <row r="403" spans="1:3" x14ac:dyDescent="0.3">
      <c r="A403" t="s">
        <v>1670</v>
      </c>
      <c r="B403" t="s">
        <v>839</v>
      </c>
      <c r="C403" t="s">
        <v>1671</v>
      </c>
    </row>
    <row r="404" spans="1:3" x14ac:dyDescent="0.3">
      <c r="A404" t="s">
        <v>1672</v>
      </c>
      <c r="B404" t="s">
        <v>839</v>
      </c>
      <c r="C404" t="s">
        <v>1673</v>
      </c>
    </row>
    <row r="405" spans="1:3" x14ac:dyDescent="0.3">
      <c r="A405" t="s">
        <v>1674</v>
      </c>
      <c r="B405" t="s">
        <v>840</v>
      </c>
      <c r="C405" t="s">
        <v>1675</v>
      </c>
    </row>
    <row r="406" spans="1:3" x14ac:dyDescent="0.3">
      <c r="A406" t="s">
        <v>1676</v>
      </c>
      <c r="B406" t="s">
        <v>839</v>
      </c>
      <c r="C406" t="s">
        <v>1677</v>
      </c>
    </row>
    <row r="407" spans="1:3" x14ac:dyDescent="0.3">
      <c r="A407" t="s">
        <v>1678</v>
      </c>
      <c r="B407" t="s">
        <v>840</v>
      </c>
      <c r="C407" t="s">
        <v>1679</v>
      </c>
    </row>
    <row r="408" spans="1:3" x14ac:dyDescent="0.3">
      <c r="A408" t="s">
        <v>1680</v>
      </c>
      <c r="B408" t="s">
        <v>839</v>
      </c>
      <c r="C408" t="s">
        <v>1681</v>
      </c>
    </row>
    <row r="409" spans="1:3" x14ac:dyDescent="0.3">
      <c r="A409" t="s">
        <v>1682</v>
      </c>
      <c r="B409" t="s">
        <v>839</v>
      </c>
      <c r="C409" t="s">
        <v>1683</v>
      </c>
    </row>
    <row r="410" spans="1:3" x14ac:dyDescent="0.3">
      <c r="A410" t="s">
        <v>1684</v>
      </c>
      <c r="B410" t="s">
        <v>839</v>
      </c>
      <c r="C410" t="s">
        <v>1685</v>
      </c>
    </row>
    <row r="411" spans="1:3" x14ac:dyDescent="0.3">
      <c r="A411" t="s">
        <v>1686</v>
      </c>
      <c r="B411" t="s">
        <v>839</v>
      </c>
      <c r="C411" t="s">
        <v>1687</v>
      </c>
    </row>
    <row r="412" spans="1:3" x14ac:dyDescent="0.3">
      <c r="A412" t="s">
        <v>1688</v>
      </c>
      <c r="B412" t="s">
        <v>839</v>
      </c>
      <c r="C412" t="s">
        <v>1689</v>
      </c>
    </row>
    <row r="413" spans="1:3" x14ac:dyDescent="0.3">
      <c r="A413" t="s">
        <v>1690</v>
      </c>
      <c r="B413" t="s">
        <v>840</v>
      </c>
      <c r="C413" t="s">
        <v>1691</v>
      </c>
    </row>
    <row r="414" spans="1:3" x14ac:dyDescent="0.3">
      <c r="A414" t="s">
        <v>1692</v>
      </c>
      <c r="B414" t="s">
        <v>839</v>
      </c>
      <c r="C414" t="s">
        <v>1693</v>
      </c>
    </row>
    <row r="415" spans="1:3" x14ac:dyDescent="0.3">
      <c r="A415" t="s">
        <v>1694</v>
      </c>
      <c r="B415" t="s">
        <v>840</v>
      </c>
      <c r="C415" t="s">
        <v>1695</v>
      </c>
    </row>
    <row r="416" spans="1:3" x14ac:dyDescent="0.3">
      <c r="A416" t="s">
        <v>1696</v>
      </c>
      <c r="B416" t="s">
        <v>840</v>
      </c>
      <c r="C416" t="s">
        <v>1697</v>
      </c>
    </row>
    <row r="417" spans="1:3" x14ac:dyDescent="0.3">
      <c r="A417" t="s">
        <v>1698</v>
      </c>
      <c r="B417" t="s">
        <v>840</v>
      </c>
      <c r="C417" t="s">
        <v>1699</v>
      </c>
    </row>
    <row r="418" spans="1:3" x14ac:dyDescent="0.3">
      <c r="A418" t="s">
        <v>1700</v>
      </c>
      <c r="B418" t="s">
        <v>839</v>
      </c>
      <c r="C418" t="s">
        <v>1701</v>
      </c>
    </row>
    <row r="419" spans="1:3" x14ac:dyDescent="0.3">
      <c r="A419" t="s">
        <v>1702</v>
      </c>
      <c r="B419" t="s">
        <v>840</v>
      </c>
      <c r="C419" t="s">
        <v>1703</v>
      </c>
    </row>
    <row r="420" spans="1:3" x14ac:dyDescent="0.3">
      <c r="A420" t="s">
        <v>1704</v>
      </c>
      <c r="B420" t="s">
        <v>839</v>
      </c>
      <c r="C420" t="s">
        <v>1705</v>
      </c>
    </row>
    <row r="421" spans="1:3" x14ac:dyDescent="0.3">
      <c r="A421" t="s">
        <v>1706</v>
      </c>
      <c r="B421" t="s">
        <v>840</v>
      </c>
      <c r="C421" t="s">
        <v>1707</v>
      </c>
    </row>
    <row r="422" spans="1:3" x14ac:dyDescent="0.3">
      <c r="A422" t="s">
        <v>1708</v>
      </c>
      <c r="B422" t="s">
        <v>839</v>
      </c>
      <c r="C422" t="s">
        <v>1709</v>
      </c>
    </row>
    <row r="423" spans="1:3" x14ac:dyDescent="0.3">
      <c r="A423" t="s">
        <v>1710</v>
      </c>
      <c r="B423" t="s">
        <v>839</v>
      </c>
      <c r="C423" t="s">
        <v>1711</v>
      </c>
    </row>
    <row r="424" spans="1:3" x14ac:dyDescent="0.3">
      <c r="A424" t="s">
        <v>1712</v>
      </c>
      <c r="B424" t="s">
        <v>839</v>
      </c>
      <c r="C424" t="s">
        <v>1713</v>
      </c>
    </row>
    <row r="425" spans="1:3" x14ac:dyDescent="0.3">
      <c r="A425" t="s">
        <v>1714</v>
      </c>
      <c r="B425" t="s">
        <v>839</v>
      </c>
      <c r="C425" t="s">
        <v>1715</v>
      </c>
    </row>
    <row r="426" spans="1:3" x14ac:dyDescent="0.3">
      <c r="A426" t="s">
        <v>1716</v>
      </c>
      <c r="B426" t="s">
        <v>839</v>
      </c>
      <c r="C426" t="s">
        <v>1717</v>
      </c>
    </row>
    <row r="427" spans="1:3" x14ac:dyDescent="0.3">
      <c r="A427" t="s">
        <v>1718</v>
      </c>
      <c r="B427" t="s">
        <v>839</v>
      </c>
      <c r="C427" t="s">
        <v>1719</v>
      </c>
    </row>
    <row r="428" spans="1:3" x14ac:dyDescent="0.3">
      <c r="A428" t="s">
        <v>1720</v>
      </c>
      <c r="B428" t="s">
        <v>840</v>
      </c>
      <c r="C428" t="s">
        <v>1721</v>
      </c>
    </row>
    <row r="429" spans="1:3" x14ac:dyDescent="0.3">
      <c r="A429" t="s">
        <v>1722</v>
      </c>
      <c r="B429" t="s">
        <v>839</v>
      </c>
      <c r="C429" t="s">
        <v>1723</v>
      </c>
    </row>
    <row r="430" spans="1:3" x14ac:dyDescent="0.3">
      <c r="A430" t="s">
        <v>1724</v>
      </c>
      <c r="B430" t="s">
        <v>839</v>
      </c>
      <c r="C430" t="s">
        <v>1725</v>
      </c>
    </row>
    <row r="431" spans="1:3" x14ac:dyDescent="0.3">
      <c r="A431" t="s">
        <v>1726</v>
      </c>
      <c r="B431" t="s">
        <v>839</v>
      </c>
      <c r="C431" t="s">
        <v>1727</v>
      </c>
    </row>
    <row r="432" spans="1:3" x14ac:dyDescent="0.3">
      <c r="A432" t="s">
        <v>1728</v>
      </c>
      <c r="B432" t="s">
        <v>839</v>
      </c>
      <c r="C432" t="s">
        <v>1729</v>
      </c>
    </row>
    <row r="433" spans="1:3" x14ac:dyDescent="0.3">
      <c r="A433" t="s">
        <v>1730</v>
      </c>
      <c r="B433" t="s">
        <v>839</v>
      </c>
      <c r="C433" t="s">
        <v>1731</v>
      </c>
    </row>
    <row r="434" spans="1:3" x14ac:dyDescent="0.3">
      <c r="A434" t="s">
        <v>1732</v>
      </c>
      <c r="B434" t="s">
        <v>840</v>
      </c>
      <c r="C434" t="s">
        <v>1733</v>
      </c>
    </row>
    <row r="435" spans="1:3" x14ac:dyDescent="0.3">
      <c r="A435" t="s">
        <v>1734</v>
      </c>
      <c r="B435" t="s">
        <v>839</v>
      </c>
      <c r="C435" t="s">
        <v>1735</v>
      </c>
    </row>
    <row r="436" spans="1:3" x14ac:dyDescent="0.3">
      <c r="A436" t="s">
        <v>1736</v>
      </c>
      <c r="B436" t="s">
        <v>839</v>
      </c>
      <c r="C436" t="s">
        <v>1737</v>
      </c>
    </row>
    <row r="437" spans="1:3" x14ac:dyDescent="0.3">
      <c r="A437" t="s">
        <v>1738</v>
      </c>
      <c r="B437" t="s">
        <v>839</v>
      </c>
      <c r="C437" t="s">
        <v>1739</v>
      </c>
    </row>
    <row r="438" spans="1:3" x14ac:dyDescent="0.3">
      <c r="A438" t="s">
        <v>1740</v>
      </c>
      <c r="B438" t="s">
        <v>840</v>
      </c>
      <c r="C438" t="s">
        <v>1741</v>
      </c>
    </row>
    <row r="439" spans="1:3" x14ac:dyDescent="0.3">
      <c r="A439" t="s">
        <v>1742</v>
      </c>
      <c r="B439" t="s">
        <v>839</v>
      </c>
      <c r="C439" t="s">
        <v>1743</v>
      </c>
    </row>
    <row r="440" spans="1:3" x14ac:dyDescent="0.3">
      <c r="A440" t="s">
        <v>1744</v>
      </c>
      <c r="B440" t="s">
        <v>839</v>
      </c>
      <c r="C440" t="s">
        <v>1745</v>
      </c>
    </row>
    <row r="441" spans="1:3" x14ac:dyDescent="0.3">
      <c r="A441" t="s">
        <v>1746</v>
      </c>
      <c r="B441" t="s">
        <v>840</v>
      </c>
      <c r="C441" t="s">
        <v>1747</v>
      </c>
    </row>
    <row r="442" spans="1:3" x14ac:dyDescent="0.3">
      <c r="A442" t="s">
        <v>1748</v>
      </c>
      <c r="B442" t="s">
        <v>839</v>
      </c>
      <c r="C442" t="s">
        <v>1749</v>
      </c>
    </row>
    <row r="443" spans="1:3" x14ac:dyDescent="0.3">
      <c r="A443" t="s">
        <v>1750</v>
      </c>
      <c r="B443" t="s">
        <v>839</v>
      </c>
      <c r="C443" t="s">
        <v>1751</v>
      </c>
    </row>
    <row r="444" spans="1:3" x14ac:dyDescent="0.3">
      <c r="A444" t="s">
        <v>1752</v>
      </c>
      <c r="B444" t="s">
        <v>840</v>
      </c>
      <c r="C444" t="s">
        <v>1753</v>
      </c>
    </row>
    <row r="445" spans="1:3" x14ac:dyDescent="0.3">
      <c r="A445" t="s">
        <v>1754</v>
      </c>
      <c r="B445" t="s">
        <v>839</v>
      </c>
      <c r="C445" t="s">
        <v>1755</v>
      </c>
    </row>
    <row r="446" spans="1:3" x14ac:dyDescent="0.3">
      <c r="A446" t="s">
        <v>1756</v>
      </c>
      <c r="B446" t="s">
        <v>840</v>
      </c>
      <c r="C446" t="s">
        <v>1757</v>
      </c>
    </row>
    <row r="447" spans="1:3" x14ac:dyDescent="0.3">
      <c r="A447" t="s">
        <v>1758</v>
      </c>
      <c r="B447" t="s">
        <v>840</v>
      </c>
      <c r="C447" t="s">
        <v>1759</v>
      </c>
    </row>
    <row r="448" spans="1:3" x14ac:dyDescent="0.3">
      <c r="A448" t="s">
        <v>1760</v>
      </c>
      <c r="B448" t="s">
        <v>840</v>
      </c>
      <c r="C448" t="s">
        <v>1761</v>
      </c>
    </row>
    <row r="449" spans="1:3" x14ac:dyDescent="0.3">
      <c r="A449" t="s">
        <v>1762</v>
      </c>
      <c r="B449" t="s">
        <v>839</v>
      </c>
      <c r="C449" t="s">
        <v>1763</v>
      </c>
    </row>
    <row r="450" spans="1:3" x14ac:dyDescent="0.3">
      <c r="A450" t="s">
        <v>1764</v>
      </c>
      <c r="B450" t="s">
        <v>840</v>
      </c>
      <c r="C450" t="s">
        <v>1765</v>
      </c>
    </row>
    <row r="451" spans="1:3" x14ac:dyDescent="0.3">
      <c r="A451" t="s">
        <v>1766</v>
      </c>
      <c r="B451" t="s">
        <v>840</v>
      </c>
      <c r="C451" t="s">
        <v>1767</v>
      </c>
    </row>
    <row r="452" spans="1:3" x14ac:dyDescent="0.3">
      <c r="A452" t="s">
        <v>1768</v>
      </c>
      <c r="B452" t="s">
        <v>839</v>
      </c>
      <c r="C452" t="s">
        <v>1769</v>
      </c>
    </row>
    <row r="453" spans="1:3" x14ac:dyDescent="0.3">
      <c r="A453" t="s">
        <v>1770</v>
      </c>
      <c r="B453" t="s">
        <v>840</v>
      </c>
      <c r="C453" t="s">
        <v>1771</v>
      </c>
    </row>
    <row r="454" spans="1:3" x14ac:dyDescent="0.3">
      <c r="A454" t="s">
        <v>1772</v>
      </c>
      <c r="B454" t="s">
        <v>839</v>
      </c>
      <c r="C454" t="s">
        <v>1773</v>
      </c>
    </row>
    <row r="455" spans="1:3" x14ac:dyDescent="0.3">
      <c r="A455" t="s">
        <v>1774</v>
      </c>
      <c r="B455" t="s">
        <v>840</v>
      </c>
      <c r="C455" t="s">
        <v>1775</v>
      </c>
    </row>
    <row r="456" spans="1:3" x14ac:dyDescent="0.3">
      <c r="A456" t="s">
        <v>1776</v>
      </c>
      <c r="B456" t="s">
        <v>840</v>
      </c>
      <c r="C456" t="s">
        <v>1777</v>
      </c>
    </row>
    <row r="457" spans="1:3" x14ac:dyDescent="0.3">
      <c r="A457" t="s">
        <v>1778</v>
      </c>
      <c r="B457" t="s">
        <v>839</v>
      </c>
      <c r="C457" t="s">
        <v>1779</v>
      </c>
    </row>
    <row r="458" spans="1:3" x14ac:dyDescent="0.3">
      <c r="A458" t="s">
        <v>1780</v>
      </c>
      <c r="B458" t="s">
        <v>839</v>
      </c>
      <c r="C458" t="s">
        <v>1781</v>
      </c>
    </row>
    <row r="459" spans="1:3" x14ac:dyDescent="0.3">
      <c r="A459" t="s">
        <v>1782</v>
      </c>
      <c r="B459" t="s">
        <v>840</v>
      </c>
      <c r="C459" t="s">
        <v>1783</v>
      </c>
    </row>
    <row r="460" spans="1:3" x14ac:dyDescent="0.3">
      <c r="A460" t="s">
        <v>1784</v>
      </c>
      <c r="B460" t="s">
        <v>839</v>
      </c>
      <c r="C460" t="s">
        <v>1785</v>
      </c>
    </row>
    <row r="461" spans="1:3" x14ac:dyDescent="0.3">
      <c r="A461" t="s">
        <v>1786</v>
      </c>
      <c r="B461" t="s">
        <v>839</v>
      </c>
      <c r="C461" t="s">
        <v>1787</v>
      </c>
    </row>
    <row r="462" spans="1:3" x14ac:dyDescent="0.3">
      <c r="A462" t="s">
        <v>1788</v>
      </c>
      <c r="B462" t="s">
        <v>839</v>
      </c>
      <c r="C462" t="s">
        <v>1789</v>
      </c>
    </row>
    <row r="463" spans="1:3" x14ac:dyDescent="0.3">
      <c r="A463" t="s">
        <v>1790</v>
      </c>
      <c r="B463" t="s">
        <v>839</v>
      </c>
      <c r="C463" t="s">
        <v>1791</v>
      </c>
    </row>
    <row r="464" spans="1:3" x14ac:dyDescent="0.3">
      <c r="A464" t="s">
        <v>1792</v>
      </c>
      <c r="B464" t="s">
        <v>839</v>
      </c>
      <c r="C464" t="s">
        <v>1793</v>
      </c>
    </row>
    <row r="465" spans="1:3" x14ac:dyDescent="0.3">
      <c r="A465" t="s">
        <v>1794</v>
      </c>
      <c r="B465" t="s">
        <v>839</v>
      </c>
      <c r="C465" t="s">
        <v>1795</v>
      </c>
    </row>
    <row r="466" spans="1:3" x14ac:dyDescent="0.3">
      <c r="A466" t="s">
        <v>1796</v>
      </c>
      <c r="B466" t="s">
        <v>839</v>
      </c>
      <c r="C466" t="s">
        <v>1797</v>
      </c>
    </row>
    <row r="467" spans="1:3" x14ac:dyDescent="0.3">
      <c r="A467" t="s">
        <v>1798</v>
      </c>
      <c r="B467" t="s">
        <v>839</v>
      </c>
      <c r="C467" t="s">
        <v>1799</v>
      </c>
    </row>
    <row r="468" spans="1:3" x14ac:dyDescent="0.3">
      <c r="A468" t="s">
        <v>1800</v>
      </c>
      <c r="B468" t="s">
        <v>839</v>
      </c>
      <c r="C468" t="s">
        <v>1801</v>
      </c>
    </row>
    <row r="469" spans="1:3" x14ac:dyDescent="0.3">
      <c r="A469" t="s">
        <v>1802</v>
      </c>
      <c r="B469" t="s">
        <v>840</v>
      </c>
      <c r="C469" t="s">
        <v>1803</v>
      </c>
    </row>
    <row r="470" spans="1:3" x14ac:dyDescent="0.3">
      <c r="A470" t="s">
        <v>1804</v>
      </c>
      <c r="B470" t="s">
        <v>840</v>
      </c>
      <c r="C470" t="s">
        <v>1805</v>
      </c>
    </row>
    <row r="471" spans="1:3" x14ac:dyDescent="0.3">
      <c r="A471" t="s">
        <v>1806</v>
      </c>
      <c r="B471" t="s">
        <v>840</v>
      </c>
      <c r="C471" t="s">
        <v>1807</v>
      </c>
    </row>
    <row r="472" spans="1:3" x14ac:dyDescent="0.3">
      <c r="A472" t="s">
        <v>1808</v>
      </c>
      <c r="B472" t="s">
        <v>840</v>
      </c>
      <c r="C472" t="s">
        <v>1809</v>
      </c>
    </row>
    <row r="473" spans="1:3" x14ac:dyDescent="0.3">
      <c r="A473" t="s">
        <v>1810</v>
      </c>
      <c r="B473" t="s">
        <v>840</v>
      </c>
      <c r="C473" t="s">
        <v>1811</v>
      </c>
    </row>
    <row r="474" spans="1:3" x14ac:dyDescent="0.3">
      <c r="A474" t="s">
        <v>1812</v>
      </c>
      <c r="B474" t="s">
        <v>839</v>
      </c>
      <c r="C474" t="s">
        <v>1813</v>
      </c>
    </row>
    <row r="475" spans="1:3" x14ac:dyDescent="0.3">
      <c r="A475" t="s">
        <v>1814</v>
      </c>
      <c r="B475" t="s">
        <v>840</v>
      </c>
      <c r="C475" t="s">
        <v>1815</v>
      </c>
    </row>
    <row r="476" spans="1:3" x14ac:dyDescent="0.3">
      <c r="A476" t="s">
        <v>1816</v>
      </c>
      <c r="B476" t="s">
        <v>840</v>
      </c>
      <c r="C476" t="s">
        <v>1817</v>
      </c>
    </row>
    <row r="477" spans="1:3" x14ac:dyDescent="0.3">
      <c r="A477" t="s">
        <v>1818</v>
      </c>
      <c r="B477" t="s">
        <v>839</v>
      </c>
      <c r="C477" t="s">
        <v>1819</v>
      </c>
    </row>
    <row r="478" spans="1:3" x14ac:dyDescent="0.3">
      <c r="A478" t="s">
        <v>1820</v>
      </c>
      <c r="B478" t="s">
        <v>840</v>
      </c>
      <c r="C478" t="s">
        <v>1821</v>
      </c>
    </row>
    <row r="479" spans="1:3" x14ac:dyDescent="0.3">
      <c r="A479" t="s">
        <v>1822</v>
      </c>
      <c r="B479" t="s">
        <v>839</v>
      </c>
      <c r="C479" t="s">
        <v>1823</v>
      </c>
    </row>
    <row r="480" spans="1:3" x14ac:dyDescent="0.3">
      <c r="A480" t="s">
        <v>1824</v>
      </c>
      <c r="B480" t="s">
        <v>839</v>
      </c>
      <c r="C480" t="s">
        <v>1825</v>
      </c>
    </row>
    <row r="481" spans="1:3" x14ac:dyDescent="0.3">
      <c r="A481" t="s">
        <v>1826</v>
      </c>
      <c r="B481" t="s">
        <v>839</v>
      </c>
      <c r="C481" t="s">
        <v>1827</v>
      </c>
    </row>
    <row r="482" spans="1:3" x14ac:dyDescent="0.3">
      <c r="A482" t="s">
        <v>1828</v>
      </c>
      <c r="B482" t="s">
        <v>840</v>
      </c>
      <c r="C482" t="s">
        <v>1829</v>
      </c>
    </row>
    <row r="483" spans="1:3" x14ac:dyDescent="0.3">
      <c r="A483" t="s">
        <v>1830</v>
      </c>
      <c r="B483" t="s">
        <v>839</v>
      </c>
      <c r="C483" t="s">
        <v>1831</v>
      </c>
    </row>
    <row r="484" spans="1:3" x14ac:dyDescent="0.3">
      <c r="A484" t="s">
        <v>1832</v>
      </c>
      <c r="B484" t="s">
        <v>839</v>
      </c>
      <c r="C484" t="s">
        <v>1833</v>
      </c>
    </row>
    <row r="485" spans="1:3" x14ac:dyDescent="0.3">
      <c r="A485" t="s">
        <v>1834</v>
      </c>
      <c r="B485" t="s">
        <v>839</v>
      </c>
      <c r="C485" t="s">
        <v>1835</v>
      </c>
    </row>
    <row r="486" spans="1:3" x14ac:dyDescent="0.3">
      <c r="A486" t="s">
        <v>1836</v>
      </c>
      <c r="B486" t="s">
        <v>840</v>
      </c>
      <c r="C486" t="s">
        <v>1837</v>
      </c>
    </row>
    <row r="487" spans="1:3" x14ac:dyDescent="0.3">
      <c r="A487" t="s">
        <v>1838</v>
      </c>
      <c r="B487" t="s">
        <v>839</v>
      </c>
      <c r="C487" t="s">
        <v>1839</v>
      </c>
    </row>
    <row r="488" spans="1:3" x14ac:dyDescent="0.3">
      <c r="A488" t="s">
        <v>1840</v>
      </c>
      <c r="B488" t="s">
        <v>839</v>
      </c>
      <c r="C488" t="s">
        <v>1841</v>
      </c>
    </row>
    <row r="489" spans="1:3" x14ac:dyDescent="0.3">
      <c r="A489" t="s">
        <v>1842</v>
      </c>
      <c r="B489" t="s">
        <v>840</v>
      </c>
      <c r="C489" t="s">
        <v>1843</v>
      </c>
    </row>
    <row r="490" spans="1:3" x14ac:dyDescent="0.3">
      <c r="A490" t="s">
        <v>1844</v>
      </c>
      <c r="B490" t="s">
        <v>839</v>
      </c>
      <c r="C490" t="s">
        <v>1845</v>
      </c>
    </row>
    <row r="491" spans="1:3" x14ac:dyDescent="0.3">
      <c r="A491" t="s">
        <v>1846</v>
      </c>
      <c r="B491" t="s">
        <v>840</v>
      </c>
      <c r="C491" t="s">
        <v>1847</v>
      </c>
    </row>
    <row r="492" spans="1:3" x14ac:dyDescent="0.3">
      <c r="A492" t="s">
        <v>1848</v>
      </c>
      <c r="B492" t="s">
        <v>839</v>
      </c>
      <c r="C492" t="s">
        <v>1849</v>
      </c>
    </row>
    <row r="493" spans="1:3" x14ac:dyDescent="0.3">
      <c r="A493" t="s">
        <v>1850</v>
      </c>
      <c r="B493" t="s">
        <v>840</v>
      </c>
      <c r="C493" t="s">
        <v>1851</v>
      </c>
    </row>
    <row r="494" spans="1:3" x14ac:dyDescent="0.3">
      <c r="A494" t="s">
        <v>1852</v>
      </c>
      <c r="B494" t="s">
        <v>839</v>
      </c>
      <c r="C494" t="s">
        <v>1853</v>
      </c>
    </row>
    <row r="495" spans="1:3" x14ac:dyDescent="0.3">
      <c r="A495" t="s">
        <v>1854</v>
      </c>
      <c r="B495" t="s">
        <v>839</v>
      </c>
      <c r="C495" t="s">
        <v>1855</v>
      </c>
    </row>
    <row r="496" spans="1:3" x14ac:dyDescent="0.3">
      <c r="A496" t="s">
        <v>1856</v>
      </c>
      <c r="B496" t="s">
        <v>839</v>
      </c>
      <c r="C496" t="s">
        <v>1857</v>
      </c>
    </row>
    <row r="497" spans="1:3" x14ac:dyDescent="0.3">
      <c r="A497" t="s">
        <v>1858</v>
      </c>
      <c r="B497" t="s">
        <v>839</v>
      </c>
      <c r="C497" t="s">
        <v>1859</v>
      </c>
    </row>
    <row r="498" spans="1:3" x14ac:dyDescent="0.3">
      <c r="A498" t="s">
        <v>1860</v>
      </c>
      <c r="B498" t="s">
        <v>839</v>
      </c>
      <c r="C498" t="s">
        <v>1861</v>
      </c>
    </row>
    <row r="499" spans="1:3" x14ac:dyDescent="0.3">
      <c r="A499" t="s">
        <v>1862</v>
      </c>
      <c r="B499" t="s">
        <v>839</v>
      </c>
      <c r="C499" t="s">
        <v>1863</v>
      </c>
    </row>
    <row r="500" spans="1:3" x14ac:dyDescent="0.3">
      <c r="A500" t="s">
        <v>1864</v>
      </c>
      <c r="B500" t="s">
        <v>839</v>
      </c>
      <c r="C500" t="s">
        <v>1865</v>
      </c>
    </row>
    <row r="501" spans="1:3" x14ac:dyDescent="0.3">
      <c r="A501" t="s">
        <v>1866</v>
      </c>
      <c r="B501" t="s">
        <v>839</v>
      </c>
      <c r="C501" t="s">
        <v>1867</v>
      </c>
    </row>
    <row r="502" spans="1:3" x14ac:dyDescent="0.3">
      <c r="A502" t="s">
        <v>1868</v>
      </c>
      <c r="B502" t="s">
        <v>839</v>
      </c>
      <c r="C502" t="s">
        <v>1869</v>
      </c>
    </row>
    <row r="503" spans="1:3" x14ac:dyDescent="0.3">
      <c r="A503" t="s">
        <v>1870</v>
      </c>
      <c r="B503" t="s">
        <v>839</v>
      </c>
      <c r="C503" t="s">
        <v>1871</v>
      </c>
    </row>
    <row r="504" spans="1:3" x14ac:dyDescent="0.3">
      <c r="A504" t="s">
        <v>1872</v>
      </c>
      <c r="B504" t="s">
        <v>839</v>
      </c>
      <c r="C504" t="s">
        <v>1873</v>
      </c>
    </row>
    <row r="505" spans="1:3" x14ac:dyDescent="0.3">
      <c r="A505" t="s">
        <v>1874</v>
      </c>
      <c r="B505" t="s">
        <v>839</v>
      </c>
      <c r="C505" t="s">
        <v>1875</v>
      </c>
    </row>
    <row r="506" spans="1:3" x14ac:dyDescent="0.3">
      <c r="A506" t="s">
        <v>1876</v>
      </c>
      <c r="B506" t="s">
        <v>839</v>
      </c>
      <c r="C506" t="s">
        <v>1877</v>
      </c>
    </row>
    <row r="507" spans="1:3" x14ac:dyDescent="0.3">
      <c r="A507" t="s">
        <v>1878</v>
      </c>
      <c r="B507" t="s">
        <v>839</v>
      </c>
      <c r="C507" t="s">
        <v>1879</v>
      </c>
    </row>
    <row r="508" spans="1:3" x14ac:dyDescent="0.3">
      <c r="A508" t="s">
        <v>1880</v>
      </c>
      <c r="B508" t="s">
        <v>839</v>
      </c>
      <c r="C508" t="s">
        <v>1881</v>
      </c>
    </row>
    <row r="509" spans="1:3" x14ac:dyDescent="0.3">
      <c r="A509" t="s">
        <v>1882</v>
      </c>
      <c r="B509" t="s">
        <v>839</v>
      </c>
      <c r="C509" t="s">
        <v>1883</v>
      </c>
    </row>
    <row r="510" spans="1:3" x14ac:dyDescent="0.3">
      <c r="A510" t="s">
        <v>1884</v>
      </c>
      <c r="B510" t="s">
        <v>839</v>
      </c>
      <c r="C510" t="s">
        <v>1885</v>
      </c>
    </row>
    <row r="511" spans="1:3" x14ac:dyDescent="0.3">
      <c r="A511" t="s">
        <v>1886</v>
      </c>
      <c r="B511" t="s">
        <v>839</v>
      </c>
      <c r="C511" t="s">
        <v>1887</v>
      </c>
    </row>
    <row r="512" spans="1:3" x14ac:dyDescent="0.3">
      <c r="A512" t="s">
        <v>1888</v>
      </c>
      <c r="B512" t="s">
        <v>839</v>
      </c>
      <c r="C512" t="s">
        <v>1889</v>
      </c>
    </row>
    <row r="513" spans="1:3" x14ac:dyDescent="0.3">
      <c r="A513" t="s">
        <v>1890</v>
      </c>
      <c r="B513" t="s">
        <v>839</v>
      </c>
      <c r="C513" t="s">
        <v>1891</v>
      </c>
    </row>
    <row r="514" spans="1:3" x14ac:dyDescent="0.3">
      <c r="A514" t="s">
        <v>1892</v>
      </c>
      <c r="B514" t="s">
        <v>840</v>
      </c>
      <c r="C514" t="s">
        <v>1893</v>
      </c>
    </row>
    <row r="515" spans="1:3" x14ac:dyDescent="0.3">
      <c r="A515" t="s">
        <v>1894</v>
      </c>
      <c r="B515" t="s">
        <v>839</v>
      </c>
      <c r="C515" t="s">
        <v>1895</v>
      </c>
    </row>
    <row r="516" spans="1:3" x14ac:dyDescent="0.3">
      <c r="A516" t="s">
        <v>1896</v>
      </c>
      <c r="B516" t="s">
        <v>839</v>
      </c>
      <c r="C516" t="s">
        <v>1897</v>
      </c>
    </row>
    <row r="517" spans="1:3" x14ac:dyDescent="0.3">
      <c r="A517" t="s">
        <v>1898</v>
      </c>
      <c r="B517" t="s">
        <v>839</v>
      </c>
      <c r="C517" t="s">
        <v>1899</v>
      </c>
    </row>
    <row r="518" spans="1:3" x14ac:dyDescent="0.3">
      <c r="A518" t="s">
        <v>1900</v>
      </c>
      <c r="B518" t="s">
        <v>839</v>
      </c>
      <c r="C518" t="s">
        <v>1901</v>
      </c>
    </row>
    <row r="519" spans="1:3" x14ac:dyDescent="0.3">
      <c r="A519" t="s">
        <v>1902</v>
      </c>
      <c r="B519" t="s">
        <v>839</v>
      </c>
      <c r="C519" t="s">
        <v>1903</v>
      </c>
    </row>
    <row r="520" spans="1:3" x14ac:dyDescent="0.3">
      <c r="A520" t="s">
        <v>1904</v>
      </c>
      <c r="B520" t="s">
        <v>839</v>
      </c>
      <c r="C520" t="s">
        <v>1905</v>
      </c>
    </row>
    <row r="521" spans="1:3" x14ac:dyDescent="0.3">
      <c r="A521" t="s">
        <v>1906</v>
      </c>
      <c r="B521" t="s">
        <v>839</v>
      </c>
      <c r="C521" t="s">
        <v>1907</v>
      </c>
    </row>
    <row r="522" spans="1:3" x14ac:dyDescent="0.3">
      <c r="A522" t="s">
        <v>1908</v>
      </c>
      <c r="B522" t="s">
        <v>840</v>
      </c>
      <c r="C522" t="s">
        <v>1909</v>
      </c>
    </row>
    <row r="523" spans="1:3" x14ac:dyDescent="0.3">
      <c r="A523" t="s">
        <v>1910</v>
      </c>
      <c r="B523" t="s">
        <v>839</v>
      </c>
      <c r="C523" t="s">
        <v>1911</v>
      </c>
    </row>
    <row r="524" spans="1:3" x14ac:dyDescent="0.3">
      <c r="A524" t="s">
        <v>1912</v>
      </c>
      <c r="B524" t="s">
        <v>840</v>
      </c>
      <c r="C524" t="s">
        <v>1913</v>
      </c>
    </row>
    <row r="525" spans="1:3" x14ac:dyDescent="0.3">
      <c r="A525" t="s">
        <v>1914</v>
      </c>
      <c r="B525" t="s">
        <v>839</v>
      </c>
      <c r="C525" t="s">
        <v>1915</v>
      </c>
    </row>
    <row r="526" spans="1:3" x14ac:dyDescent="0.3">
      <c r="A526" t="s">
        <v>1916</v>
      </c>
      <c r="B526" t="s">
        <v>839</v>
      </c>
      <c r="C526" t="s">
        <v>1917</v>
      </c>
    </row>
    <row r="527" spans="1:3" x14ac:dyDescent="0.3">
      <c r="A527" t="s">
        <v>1918</v>
      </c>
      <c r="B527" t="s">
        <v>840</v>
      </c>
      <c r="C527" t="s">
        <v>1919</v>
      </c>
    </row>
    <row r="528" spans="1:3" x14ac:dyDescent="0.3">
      <c r="A528" t="s">
        <v>1920</v>
      </c>
      <c r="B528" t="s">
        <v>839</v>
      </c>
      <c r="C528" t="s">
        <v>1921</v>
      </c>
    </row>
    <row r="529" spans="1:3" x14ac:dyDescent="0.3">
      <c r="A529" t="s">
        <v>1922</v>
      </c>
      <c r="B529" t="s">
        <v>839</v>
      </c>
      <c r="C529" t="s">
        <v>1923</v>
      </c>
    </row>
    <row r="530" spans="1:3" x14ac:dyDescent="0.3">
      <c r="A530" t="s">
        <v>1924</v>
      </c>
      <c r="B530" t="s">
        <v>839</v>
      </c>
      <c r="C530" t="s">
        <v>1925</v>
      </c>
    </row>
    <row r="531" spans="1:3" x14ac:dyDescent="0.3">
      <c r="A531" t="s">
        <v>1926</v>
      </c>
      <c r="B531" t="s">
        <v>839</v>
      </c>
      <c r="C531" t="s">
        <v>1927</v>
      </c>
    </row>
    <row r="532" spans="1:3" x14ac:dyDescent="0.3">
      <c r="A532" t="s">
        <v>1928</v>
      </c>
      <c r="B532" t="s">
        <v>839</v>
      </c>
      <c r="C532" t="s">
        <v>1929</v>
      </c>
    </row>
    <row r="533" spans="1:3" x14ac:dyDescent="0.3">
      <c r="A533" t="s">
        <v>1930</v>
      </c>
      <c r="B533" t="s">
        <v>839</v>
      </c>
      <c r="C533" t="s">
        <v>1931</v>
      </c>
    </row>
    <row r="534" spans="1:3" x14ac:dyDescent="0.3">
      <c r="A534" t="s">
        <v>1932</v>
      </c>
      <c r="B534" t="s">
        <v>839</v>
      </c>
      <c r="C534" t="s">
        <v>1933</v>
      </c>
    </row>
    <row r="535" spans="1:3" x14ac:dyDescent="0.3">
      <c r="A535" t="s">
        <v>1934</v>
      </c>
      <c r="B535" t="s">
        <v>839</v>
      </c>
      <c r="C535" t="s">
        <v>1935</v>
      </c>
    </row>
    <row r="536" spans="1:3" x14ac:dyDescent="0.3">
      <c r="A536" t="s">
        <v>1936</v>
      </c>
      <c r="B536" t="s">
        <v>839</v>
      </c>
      <c r="C536" t="s">
        <v>1937</v>
      </c>
    </row>
    <row r="537" spans="1:3" x14ac:dyDescent="0.3">
      <c r="A537" t="s">
        <v>1938</v>
      </c>
      <c r="B537" t="s">
        <v>839</v>
      </c>
      <c r="C537" t="s">
        <v>1939</v>
      </c>
    </row>
    <row r="538" spans="1:3" x14ac:dyDescent="0.3">
      <c r="A538" t="s">
        <v>1940</v>
      </c>
      <c r="B538" t="s">
        <v>839</v>
      </c>
      <c r="C538" t="s">
        <v>1941</v>
      </c>
    </row>
    <row r="539" spans="1:3" x14ac:dyDescent="0.3">
      <c r="A539" t="s">
        <v>1942</v>
      </c>
      <c r="B539" t="s">
        <v>839</v>
      </c>
      <c r="C539" t="s">
        <v>1943</v>
      </c>
    </row>
    <row r="540" spans="1:3" x14ac:dyDescent="0.3">
      <c r="A540" t="s">
        <v>1944</v>
      </c>
      <c r="B540" t="s">
        <v>839</v>
      </c>
      <c r="C540" t="s">
        <v>1945</v>
      </c>
    </row>
    <row r="541" spans="1:3" x14ac:dyDescent="0.3">
      <c r="A541" t="s">
        <v>1946</v>
      </c>
      <c r="B541" t="s">
        <v>839</v>
      </c>
      <c r="C541" t="s">
        <v>1947</v>
      </c>
    </row>
    <row r="542" spans="1:3" x14ac:dyDescent="0.3">
      <c r="A542" t="s">
        <v>1948</v>
      </c>
      <c r="B542" t="s">
        <v>839</v>
      </c>
      <c r="C542" t="s">
        <v>1949</v>
      </c>
    </row>
    <row r="543" spans="1:3" x14ac:dyDescent="0.3">
      <c r="A543" t="s">
        <v>1950</v>
      </c>
      <c r="B543" t="s">
        <v>839</v>
      </c>
      <c r="C543" t="s">
        <v>1951</v>
      </c>
    </row>
    <row r="544" spans="1:3" x14ac:dyDescent="0.3">
      <c r="A544" t="s">
        <v>1952</v>
      </c>
      <c r="B544" t="s">
        <v>839</v>
      </c>
      <c r="C544" t="s">
        <v>1953</v>
      </c>
    </row>
    <row r="545" spans="1:3" x14ac:dyDescent="0.3">
      <c r="A545" t="s">
        <v>1954</v>
      </c>
      <c r="B545" t="s">
        <v>839</v>
      </c>
      <c r="C545" t="s">
        <v>1955</v>
      </c>
    </row>
    <row r="546" spans="1:3" x14ac:dyDescent="0.3">
      <c r="A546" t="s">
        <v>1956</v>
      </c>
      <c r="B546" t="s">
        <v>839</v>
      </c>
      <c r="C546" t="s">
        <v>1957</v>
      </c>
    </row>
    <row r="547" spans="1:3" x14ac:dyDescent="0.3">
      <c r="A547" t="s">
        <v>1958</v>
      </c>
      <c r="B547" t="s">
        <v>840</v>
      </c>
      <c r="C547" t="s">
        <v>1959</v>
      </c>
    </row>
    <row r="548" spans="1:3" x14ac:dyDescent="0.3">
      <c r="A548" t="s">
        <v>1960</v>
      </c>
      <c r="B548" t="s">
        <v>839</v>
      </c>
      <c r="C548" t="s">
        <v>1961</v>
      </c>
    </row>
    <row r="549" spans="1:3" x14ac:dyDescent="0.3">
      <c r="A549" t="s">
        <v>1962</v>
      </c>
      <c r="B549" t="s">
        <v>839</v>
      </c>
      <c r="C549" t="s">
        <v>1963</v>
      </c>
    </row>
    <row r="550" spans="1:3" x14ac:dyDescent="0.3">
      <c r="A550" t="s">
        <v>1964</v>
      </c>
      <c r="B550" t="s">
        <v>839</v>
      </c>
      <c r="C550" t="s">
        <v>1965</v>
      </c>
    </row>
    <row r="551" spans="1:3" x14ac:dyDescent="0.3">
      <c r="A551" t="s">
        <v>1966</v>
      </c>
      <c r="B551" t="s">
        <v>839</v>
      </c>
      <c r="C551" t="s">
        <v>1967</v>
      </c>
    </row>
    <row r="552" spans="1:3" x14ac:dyDescent="0.3">
      <c r="A552" t="s">
        <v>1968</v>
      </c>
      <c r="B552" t="s">
        <v>839</v>
      </c>
      <c r="C552" t="s">
        <v>1969</v>
      </c>
    </row>
    <row r="553" spans="1:3" x14ac:dyDescent="0.3">
      <c r="A553" t="s">
        <v>1970</v>
      </c>
      <c r="B553" t="s">
        <v>839</v>
      </c>
      <c r="C553" t="s">
        <v>1971</v>
      </c>
    </row>
    <row r="554" spans="1:3" x14ac:dyDescent="0.3">
      <c r="A554" t="s">
        <v>1972</v>
      </c>
      <c r="B554" t="s">
        <v>840</v>
      </c>
      <c r="C554" t="s">
        <v>1973</v>
      </c>
    </row>
    <row r="555" spans="1:3" x14ac:dyDescent="0.3">
      <c r="A555" t="s">
        <v>1974</v>
      </c>
      <c r="B555" t="s">
        <v>839</v>
      </c>
      <c r="C555" t="s">
        <v>1975</v>
      </c>
    </row>
    <row r="556" spans="1:3" x14ac:dyDescent="0.3">
      <c r="A556" t="s">
        <v>1976</v>
      </c>
      <c r="B556" t="s">
        <v>839</v>
      </c>
      <c r="C556" t="s">
        <v>1977</v>
      </c>
    </row>
    <row r="557" spans="1:3" x14ac:dyDescent="0.3">
      <c r="A557" t="s">
        <v>1978</v>
      </c>
      <c r="B557" t="s">
        <v>839</v>
      </c>
      <c r="C557" t="s">
        <v>1979</v>
      </c>
    </row>
    <row r="558" spans="1:3" x14ac:dyDescent="0.3">
      <c r="A558" t="s">
        <v>1980</v>
      </c>
      <c r="B558" t="s">
        <v>839</v>
      </c>
      <c r="C558" t="s">
        <v>1981</v>
      </c>
    </row>
    <row r="559" spans="1:3" x14ac:dyDescent="0.3">
      <c r="A559" t="s">
        <v>1982</v>
      </c>
      <c r="B559" t="s">
        <v>839</v>
      </c>
      <c r="C559" t="s">
        <v>1983</v>
      </c>
    </row>
    <row r="560" spans="1:3" x14ac:dyDescent="0.3">
      <c r="A560" t="s">
        <v>1984</v>
      </c>
      <c r="B560" t="s">
        <v>840</v>
      </c>
      <c r="C560" t="s">
        <v>1985</v>
      </c>
    </row>
    <row r="561" spans="1:3" x14ac:dyDescent="0.3">
      <c r="A561" t="s">
        <v>1986</v>
      </c>
      <c r="B561" t="s">
        <v>839</v>
      </c>
      <c r="C561" t="s">
        <v>1987</v>
      </c>
    </row>
    <row r="562" spans="1:3" x14ac:dyDescent="0.3">
      <c r="A562" t="s">
        <v>1988</v>
      </c>
      <c r="B562" t="s">
        <v>839</v>
      </c>
      <c r="C562" t="s">
        <v>1989</v>
      </c>
    </row>
    <row r="563" spans="1:3" x14ac:dyDescent="0.3">
      <c r="A563" t="s">
        <v>1990</v>
      </c>
      <c r="B563" t="s">
        <v>839</v>
      </c>
      <c r="C563" t="s">
        <v>1991</v>
      </c>
    </row>
    <row r="564" spans="1:3" x14ac:dyDescent="0.3">
      <c r="A564" t="s">
        <v>1992</v>
      </c>
      <c r="B564" t="s">
        <v>839</v>
      </c>
      <c r="C564" t="s">
        <v>1993</v>
      </c>
    </row>
    <row r="565" spans="1:3" x14ac:dyDescent="0.3">
      <c r="A565" t="s">
        <v>1994</v>
      </c>
      <c r="B565" t="s">
        <v>840</v>
      </c>
      <c r="C565" t="s">
        <v>1995</v>
      </c>
    </row>
    <row r="566" spans="1:3" x14ac:dyDescent="0.3">
      <c r="A566" t="s">
        <v>1996</v>
      </c>
      <c r="B566" t="s">
        <v>840</v>
      </c>
      <c r="C566" t="s">
        <v>1997</v>
      </c>
    </row>
    <row r="567" spans="1:3" x14ac:dyDescent="0.3">
      <c r="A567" t="s">
        <v>1998</v>
      </c>
      <c r="B567" t="s">
        <v>839</v>
      </c>
      <c r="C567" t="s">
        <v>1999</v>
      </c>
    </row>
    <row r="568" spans="1:3" x14ac:dyDescent="0.3">
      <c r="A568" t="s">
        <v>2000</v>
      </c>
      <c r="B568" t="s">
        <v>840</v>
      </c>
      <c r="C568" t="s">
        <v>2001</v>
      </c>
    </row>
    <row r="569" spans="1:3" x14ac:dyDescent="0.3">
      <c r="A569" t="s">
        <v>2002</v>
      </c>
      <c r="B569" t="s">
        <v>840</v>
      </c>
      <c r="C569" t="s">
        <v>2003</v>
      </c>
    </row>
    <row r="570" spans="1:3" x14ac:dyDescent="0.3">
      <c r="A570" t="s">
        <v>2004</v>
      </c>
      <c r="B570" t="s">
        <v>840</v>
      </c>
      <c r="C570" t="s">
        <v>2005</v>
      </c>
    </row>
    <row r="571" spans="1:3" x14ac:dyDescent="0.3">
      <c r="A571" t="s">
        <v>2006</v>
      </c>
      <c r="B571" t="s">
        <v>839</v>
      </c>
      <c r="C571" t="s">
        <v>2007</v>
      </c>
    </row>
    <row r="572" spans="1:3" x14ac:dyDescent="0.3">
      <c r="A572" t="s">
        <v>2008</v>
      </c>
      <c r="B572" t="s">
        <v>839</v>
      </c>
      <c r="C572" t="s">
        <v>2009</v>
      </c>
    </row>
    <row r="573" spans="1:3" x14ac:dyDescent="0.3">
      <c r="A573" t="s">
        <v>2010</v>
      </c>
      <c r="B573" t="s">
        <v>839</v>
      </c>
      <c r="C573" t="s">
        <v>2011</v>
      </c>
    </row>
    <row r="574" spans="1:3" x14ac:dyDescent="0.3">
      <c r="A574" t="s">
        <v>2012</v>
      </c>
      <c r="B574" t="s">
        <v>839</v>
      </c>
      <c r="C574" t="s">
        <v>2013</v>
      </c>
    </row>
    <row r="575" spans="1:3" x14ac:dyDescent="0.3">
      <c r="A575" t="s">
        <v>2014</v>
      </c>
      <c r="B575" t="s">
        <v>840</v>
      </c>
      <c r="C575" t="s">
        <v>2015</v>
      </c>
    </row>
    <row r="576" spans="1:3" x14ac:dyDescent="0.3">
      <c r="A576" t="s">
        <v>2016</v>
      </c>
      <c r="B576" t="s">
        <v>839</v>
      </c>
      <c r="C576" t="s">
        <v>2017</v>
      </c>
    </row>
    <row r="577" spans="1:3" x14ac:dyDescent="0.3">
      <c r="A577" t="s">
        <v>2018</v>
      </c>
      <c r="B577" t="s">
        <v>839</v>
      </c>
      <c r="C577" t="s">
        <v>2019</v>
      </c>
    </row>
    <row r="578" spans="1:3" x14ac:dyDescent="0.3">
      <c r="A578" t="s">
        <v>2020</v>
      </c>
      <c r="B578" t="s">
        <v>840</v>
      </c>
      <c r="C578" t="s">
        <v>2021</v>
      </c>
    </row>
    <row r="579" spans="1:3" x14ac:dyDescent="0.3">
      <c r="A579" t="s">
        <v>2022</v>
      </c>
      <c r="B579" t="s">
        <v>840</v>
      </c>
      <c r="C579" t="s">
        <v>2023</v>
      </c>
    </row>
    <row r="580" spans="1:3" x14ac:dyDescent="0.3">
      <c r="A580" t="s">
        <v>2024</v>
      </c>
      <c r="B580" t="s">
        <v>839</v>
      </c>
      <c r="C580" t="s">
        <v>2025</v>
      </c>
    </row>
    <row r="581" spans="1:3" x14ac:dyDescent="0.3">
      <c r="A581" t="s">
        <v>2026</v>
      </c>
      <c r="B581" t="s">
        <v>840</v>
      </c>
      <c r="C581" t="s">
        <v>2027</v>
      </c>
    </row>
    <row r="582" spans="1:3" x14ac:dyDescent="0.3">
      <c r="A582" t="s">
        <v>2028</v>
      </c>
      <c r="B582" t="s">
        <v>839</v>
      </c>
      <c r="C582" t="s">
        <v>2029</v>
      </c>
    </row>
    <row r="583" spans="1:3" x14ac:dyDescent="0.3">
      <c r="A583" t="s">
        <v>2030</v>
      </c>
      <c r="B583" t="s">
        <v>839</v>
      </c>
      <c r="C583" t="s">
        <v>2031</v>
      </c>
    </row>
    <row r="584" spans="1:3" x14ac:dyDescent="0.3">
      <c r="A584" t="s">
        <v>2032</v>
      </c>
      <c r="B584" t="s">
        <v>839</v>
      </c>
      <c r="C584" t="s">
        <v>2033</v>
      </c>
    </row>
    <row r="585" spans="1:3" x14ac:dyDescent="0.3">
      <c r="A585" t="s">
        <v>2034</v>
      </c>
      <c r="B585" t="s">
        <v>840</v>
      </c>
      <c r="C585" t="s">
        <v>2035</v>
      </c>
    </row>
    <row r="586" spans="1:3" x14ac:dyDescent="0.3">
      <c r="A586" t="s">
        <v>2036</v>
      </c>
      <c r="B586" t="s">
        <v>839</v>
      </c>
      <c r="C586" t="s">
        <v>2037</v>
      </c>
    </row>
    <row r="587" spans="1:3" x14ac:dyDescent="0.3">
      <c r="A587" t="s">
        <v>2038</v>
      </c>
      <c r="B587" t="s">
        <v>839</v>
      </c>
      <c r="C587" t="s">
        <v>2039</v>
      </c>
    </row>
    <row r="588" spans="1:3" x14ac:dyDescent="0.3">
      <c r="A588" t="s">
        <v>2040</v>
      </c>
      <c r="B588" t="s">
        <v>839</v>
      </c>
      <c r="C588" t="s">
        <v>2041</v>
      </c>
    </row>
    <row r="589" spans="1:3" x14ac:dyDescent="0.3">
      <c r="A589" t="s">
        <v>2042</v>
      </c>
      <c r="B589" t="s">
        <v>839</v>
      </c>
      <c r="C589" t="s">
        <v>2043</v>
      </c>
    </row>
    <row r="590" spans="1:3" x14ac:dyDescent="0.3">
      <c r="A590" t="s">
        <v>2044</v>
      </c>
      <c r="B590" t="s">
        <v>839</v>
      </c>
      <c r="C590" t="s">
        <v>2045</v>
      </c>
    </row>
    <row r="591" spans="1:3" x14ac:dyDescent="0.3">
      <c r="A591" t="s">
        <v>2046</v>
      </c>
      <c r="B591" t="s">
        <v>839</v>
      </c>
      <c r="C591" t="s">
        <v>2047</v>
      </c>
    </row>
    <row r="592" spans="1:3" x14ac:dyDescent="0.3">
      <c r="A592" t="s">
        <v>2048</v>
      </c>
      <c r="B592" t="s">
        <v>839</v>
      </c>
      <c r="C592" t="s">
        <v>2049</v>
      </c>
    </row>
    <row r="593" spans="1:3" x14ac:dyDescent="0.3">
      <c r="A593" t="s">
        <v>2050</v>
      </c>
      <c r="B593" t="s">
        <v>840</v>
      </c>
      <c r="C593" t="s">
        <v>2051</v>
      </c>
    </row>
    <row r="594" spans="1:3" x14ac:dyDescent="0.3">
      <c r="A594" t="s">
        <v>2052</v>
      </c>
      <c r="B594" t="s">
        <v>840</v>
      </c>
      <c r="C594" t="s">
        <v>2053</v>
      </c>
    </row>
    <row r="595" spans="1:3" x14ac:dyDescent="0.3">
      <c r="A595" t="s">
        <v>2054</v>
      </c>
      <c r="B595" t="s">
        <v>839</v>
      </c>
      <c r="C595" t="s">
        <v>2055</v>
      </c>
    </row>
    <row r="596" spans="1:3" x14ac:dyDescent="0.3">
      <c r="A596" t="s">
        <v>2056</v>
      </c>
      <c r="B596" t="s">
        <v>839</v>
      </c>
      <c r="C596" t="s">
        <v>2057</v>
      </c>
    </row>
    <row r="597" spans="1:3" x14ac:dyDescent="0.3">
      <c r="A597" t="s">
        <v>2058</v>
      </c>
      <c r="B597" t="s">
        <v>839</v>
      </c>
      <c r="C597" t="s">
        <v>2059</v>
      </c>
    </row>
    <row r="598" spans="1:3" x14ac:dyDescent="0.3">
      <c r="A598" t="s">
        <v>2060</v>
      </c>
      <c r="B598" t="s">
        <v>840</v>
      </c>
      <c r="C598" t="s">
        <v>2061</v>
      </c>
    </row>
    <row r="599" spans="1:3" x14ac:dyDescent="0.3">
      <c r="A599" t="s">
        <v>2062</v>
      </c>
      <c r="B599" t="s">
        <v>839</v>
      </c>
      <c r="C599" t="s">
        <v>2063</v>
      </c>
    </row>
    <row r="600" spans="1:3" x14ac:dyDescent="0.3">
      <c r="A600" t="s">
        <v>2064</v>
      </c>
      <c r="B600" t="s">
        <v>839</v>
      </c>
      <c r="C600" t="s">
        <v>2065</v>
      </c>
    </row>
    <row r="601" spans="1:3" x14ac:dyDescent="0.3">
      <c r="A601" t="s">
        <v>2066</v>
      </c>
      <c r="B601" t="s">
        <v>840</v>
      </c>
      <c r="C601" t="s">
        <v>2067</v>
      </c>
    </row>
    <row r="602" spans="1:3" x14ac:dyDescent="0.3">
      <c r="A602" t="s">
        <v>2068</v>
      </c>
      <c r="B602" t="s">
        <v>839</v>
      </c>
      <c r="C602" t="s">
        <v>2069</v>
      </c>
    </row>
    <row r="603" spans="1:3" x14ac:dyDescent="0.3">
      <c r="A603" t="s">
        <v>2070</v>
      </c>
      <c r="B603" t="s">
        <v>839</v>
      </c>
      <c r="C603" t="s">
        <v>2071</v>
      </c>
    </row>
    <row r="604" spans="1:3" x14ac:dyDescent="0.3">
      <c r="A604" t="s">
        <v>2072</v>
      </c>
      <c r="B604" t="s">
        <v>839</v>
      </c>
      <c r="C604" t="s">
        <v>2073</v>
      </c>
    </row>
    <row r="605" spans="1:3" x14ac:dyDescent="0.3">
      <c r="A605" t="s">
        <v>2074</v>
      </c>
      <c r="B605" t="s">
        <v>839</v>
      </c>
      <c r="C605" t="s">
        <v>2075</v>
      </c>
    </row>
    <row r="606" spans="1:3" x14ac:dyDescent="0.3">
      <c r="A606" t="s">
        <v>2076</v>
      </c>
      <c r="B606" t="s">
        <v>839</v>
      </c>
      <c r="C606" t="s">
        <v>2077</v>
      </c>
    </row>
    <row r="607" spans="1:3" x14ac:dyDescent="0.3">
      <c r="A607" t="s">
        <v>2078</v>
      </c>
      <c r="B607" t="s">
        <v>839</v>
      </c>
      <c r="C607" t="s">
        <v>2079</v>
      </c>
    </row>
    <row r="608" spans="1:3" x14ac:dyDescent="0.3">
      <c r="A608" t="s">
        <v>2080</v>
      </c>
      <c r="B608" t="s">
        <v>840</v>
      </c>
      <c r="C608" t="s">
        <v>2081</v>
      </c>
    </row>
    <row r="609" spans="1:3" x14ac:dyDescent="0.3">
      <c r="A609" t="s">
        <v>2082</v>
      </c>
      <c r="B609" t="s">
        <v>839</v>
      </c>
      <c r="C609" t="s">
        <v>2083</v>
      </c>
    </row>
    <row r="610" spans="1:3" x14ac:dyDescent="0.3">
      <c r="A610" t="s">
        <v>2084</v>
      </c>
      <c r="B610" t="s">
        <v>839</v>
      </c>
      <c r="C610" t="s">
        <v>2085</v>
      </c>
    </row>
    <row r="611" spans="1:3" x14ac:dyDescent="0.3">
      <c r="A611" t="s">
        <v>2086</v>
      </c>
      <c r="B611" t="s">
        <v>839</v>
      </c>
      <c r="C611" t="s">
        <v>2087</v>
      </c>
    </row>
    <row r="612" spans="1:3" x14ac:dyDescent="0.3">
      <c r="A612" t="s">
        <v>2088</v>
      </c>
      <c r="B612" t="s">
        <v>839</v>
      </c>
      <c r="C612" t="s">
        <v>2089</v>
      </c>
    </row>
    <row r="613" spans="1:3" x14ac:dyDescent="0.3">
      <c r="A613" t="s">
        <v>2090</v>
      </c>
      <c r="B613" t="s">
        <v>839</v>
      </c>
      <c r="C613" t="s">
        <v>2091</v>
      </c>
    </row>
    <row r="614" spans="1:3" x14ac:dyDescent="0.3">
      <c r="A614" t="s">
        <v>2092</v>
      </c>
      <c r="B614" t="s">
        <v>839</v>
      </c>
      <c r="C614" t="s">
        <v>2093</v>
      </c>
    </row>
    <row r="615" spans="1:3" x14ac:dyDescent="0.3">
      <c r="A615" t="s">
        <v>2094</v>
      </c>
      <c r="B615" t="s">
        <v>839</v>
      </c>
      <c r="C615" t="s">
        <v>2095</v>
      </c>
    </row>
    <row r="616" spans="1:3" x14ac:dyDescent="0.3">
      <c r="A616" t="s">
        <v>2096</v>
      </c>
      <c r="B616" t="s">
        <v>839</v>
      </c>
      <c r="C616" t="s">
        <v>2097</v>
      </c>
    </row>
    <row r="617" spans="1:3" x14ac:dyDescent="0.3">
      <c r="A617" t="s">
        <v>2098</v>
      </c>
      <c r="B617" t="s">
        <v>839</v>
      </c>
      <c r="C617" t="s">
        <v>2099</v>
      </c>
    </row>
    <row r="618" spans="1:3" x14ac:dyDescent="0.3">
      <c r="A618" t="s">
        <v>2100</v>
      </c>
      <c r="B618" t="s">
        <v>840</v>
      </c>
      <c r="C618" t="s">
        <v>2101</v>
      </c>
    </row>
    <row r="619" spans="1:3" x14ac:dyDescent="0.3">
      <c r="A619" t="s">
        <v>2102</v>
      </c>
      <c r="B619" t="s">
        <v>840</v>
      </c>
      <c r="C619" t="s">
        <v>2103</v>
      </c>
    </row>
    <row r="620" spans="1:3" x14ac:dyDescent="0.3">
      <c r="A620" t="s">
        <v>2104</v>
      </c>
      <c r="B620" t="s">
        <v>840</v>
      </c>
      <c r="C620" t="s">
        <v>2105</v>
      </c>
    </row>
    <row r="621" spans="1:3" x14ac:dyDescent="0.3">
      <c r="A621" t="s">
        <v>2106</v>
      </c>
      <c r="B621" t="s">
        <v>840</v>
      </c>
      <c r="C621" t="s">
        <v>2107</v>
      </c>
    </row>
    <row r="622" spans="1:3" x14ac:dyDescent="0.3">
      <c r="A622" t="s">
        <v>2108</v>
      </c>
      <c r="B622" t="s">
        <v>839</v>
      </c>
      <c r="C622" t="s">
        <v>2109</v>
      </c>
    </row>
    <row r="623" spans="1:3" x14ac:dyDescent="0.3">
      <c r="A623" t="s">
        <v>2110</v>
      </c>
      <c r="B623" t="s">
        <v>840</v>
      </c>
      <c r="C623" t="s">
        <v>2111</v>
      </c>
    </row>
    <row r="624" spans="1:3" x14ac:dyDescent="0.3">
      <c r="A624" t="s">
        <v>2112</v>
      </c>
      <c r="B624" t="s">
        <v>840</v>
      </c>
      <c r="C624" t="s">
        <v>2113</v>
      </c>
    </row>
    <row r="625" spans="1:3" x14ac:dyDescent="0.3">
      <c r="A625" t="s">
        <v>2114</v>
      </c>
      <c r="B625" t="s">
        <v>840</v>
      </c>
      <c r="C625" t="s">
        <v>2115</v>
      </c>
    </row>
    <row r="626" spans="1:3" x14ac:dyDescent="0.3">
      <c r="A626" t="s">
        <v>2116</v>
      </c>
      <c r="B626" t="s">
        <v>839</v>
      </c>
      <c r="C626" t="s">
        <v>2117</v>
      </c>
    </row>
    <row r="627" spans="1:3" x14ac:dyDescent="0.3">
      <c r="A627" t="s">
        <v>2118</v>
      </c>
      <c r="B627" t="s">
        <v>839</v>
      </c>
      <c r="C627" t="s">
        <v>2119</v>
      </c>
    </row>
    <row r="628" spans="1:3" x14ac:dyDescent="0.3">
      <c r="A628" t="s">
        <v>2120</v>
      </c>
      <c r="B628" t="s">
        <v>839</v>
      </c>
      <c r="C628" t="s">
        <v>2121</v>
      </c>
    </row>
    <row r="629" spans="1:3" x14ac:dyDescent="0.3">
      <c r="A629" t="s">
        <v>2122</v>
      </c>
      <c r="B629" t="s">
        <v>839</v>
      </c>
      <c r="C629" t="s">
        <v>2123</v>
      </c>
    </row>
    <row r="630" spans="1:3" x14ac:dyDescent="0.3">
      <c r="A630" t="s">
        <v>2124</v>
      </c>
      <c r="B630" t="s">
        <v>839</v>
      </c>
      <c r="C630" t="s">
        <v>2125</v>
      </c>
    </row>
    <row r="631" spans="1:3" x14ac:dyDescent="0.3">
      <c r="A631" t="s">
        <v>2126</v>
      </c>
      <c r="B631" t="s">
        <v>839</v>
      </c>
      <c r="C631" t="s">
        <v>2127</v>
      </c>
    </row>
    <row r="632" spans="1:3" x14ac:dyDescent="0.3">
      <c r="A632" t="s">
        <v>2128</v>
      </c>
      <c r="B632" t="s">
        <v>839</v>
      </c>
      <c r="C632" t="s">
        <v>2129</v>
      </c>
    </row>
    <row r="633" spans="1:3" x14ac:dyDescent="0.3">
      <c r="A633" t="s">
        <v>2130</v>
      </c>
      <c r="B633" t="s">
        <v>839</v>
      </c>
      <c r="C633" t="s">
        <v>2131</v>
      </c>
    </row>
    <row r="634" spans="1:3" x14ac:dyDescent="0.3">
      <c r="A634" t="s">
        <v>2132</v>
      </c>
      <c r="B634" t="s">
        <v>839</v>
      </c>
      <c r="C634" t="s">
        <v>2133</v>
      </c>
    </row>
    <row r="635" spans="1:3" x14ac:dyDescent="0.3">
      <c r="A635" t="s">
        <v>2134</v>
      </c>
      <c r="B635" t="s">
        <v>840</v>
      </c>
      <c r="C635" t="s">
        <v>2135</v>
      </c>
    </row>
    <row r="636" spans="1:3" x14ac:dyDescent="0.3">
      <c r="A636" t="s">
        <v>2136</v>
      </c>
      <c r="B636" t="s">
        <v>839</v>
      </c>
      <c r="C636" t="s">
        <v>2137</v>
      </c>
    </row>
    <row r="637" spans="1:3" x14ac:dyDescent="0.3">
      <c r="A637" t="s">
        <v>2138</v>
      </c>
      <c r="B637" t="s">
        <v>839</v>
      </c>
      <c r="C637" t="s">
        <v>2139</v>
      </c>
    </row>
    <row r="638" spans="1:3" x14ac:dyDescent="0.3">
      <c r="A638" t="s">
        <v>2140</v>
      </c>
      <c r="B638" t="s">
        <v>839</v>
      </c>
      <c r="C638" t="s">
        <v>2141</v>
      </c>
    </row>
    <row r="639" spans="1:3" x14ac:dyDescent="0.3">
      <c r="A639" t="s">
        <v>2142</v>
      </c>
      <c r="B639" t="s">
        <v>839</v>
      </c>
      <c r="C639" t="s">
        <v>2143</v>
      </c>
    </row>
    <row r="640" spans="1:3" x14ac:dyDescent="0.3">
      <c r="A640" t="s">
        <v>2144</v>
      </c>
      <c r="B640" t="s">
        <v>840</v>
      </c>
      <c r="C640" t="s">
        <v>2145</v>
      </c>
    </row>
    <row r="641" spans="1:3" x14ac:dyDescent="0.3">
      <c r="A641" t="s">
        <v>2146</v>
      </c>
      <c r="B641" t="s">
        <v>840</v>
      </c>
      <c r="C641" t="s">
        <v>2147</v>
      </c>
    </row>
    <row r="642" spans="1:3" x14ac:dyDescent="0.3">
      <c r="A642" t="s">
        <v>2148</v>
      </c>
      <c r="B642" t="s">
        <v>839</v>
      </c>
      <c r="C642" t="s">
        <v>2149</v>
      </c>
    </row>
    <row r="643" spans="1:3" x14ac:dyDescent="0.3">
      <c r="A643" t="s">
        <v>2150</v>
      </c>
      <c r="B643" t="s">
        <v>839</v>
      </c>
      <c r="C643" t="s">
        <v>2151</v>
      </c>
    </row>
    <row r="644" spans="1:3" x14ac:dyDescent="0.3">
      <c r="A644" t="s">
        <v>2152</v>
      </c>
      <c r="B644" t="s">
        <v>839</v>
      </c>
      <c r="C644" t="s">
        <v>2153</v>
      </c>
    </row>
    <row r="645" spans="1:3" x14ac:dyDescent="0.3">
      <c r="A645" t="s">
        <v>2154</v>
      </c>
      <c r="B645" t="s">
        <v>840</v>
      </c>
      <c r="C645" t="s">
        <v>2155</v>
      </c>
    </row>
    <row r="646" spans="1:3" x14ac:dyDescent="0.3">
      <c r="A646" t="s">
        <v>2156</v>
      </c>
      <c r="B646" t="s">
        <v>839</v>
      </c>
      <c r="C646" t="s">
        <v>2157</v>
      </c>
    </row>
    <row r="647" spans="1:3" x14ac:dyDescent="0.3">
      <c r="A647" t="s">
        <v>2158</v>
      </c>
      <c r="B647" t="s">
        <v>839</v>
      </c>
      <c r="C647" t="s">
        <v>2159</v>
      </c>
    </row>
    <row r="648" spans="1:3" x14ac:dyDescent="0.3">
      <c r="A648" t="s">
        <v>2160</v>
      </c>
      <c r="B648" t="s">
        <v>840</v>
      </c>
      <c r="C648" t="s">
        <v>2161</v>
      </c>
    </row>
    <row r="649" spans="1:3" x14ac:dyDescent="0.3">
      <c r="A649" t="s">
        <v>2162</v>
      </c>
      <c r="B649" t="s">
        <v>840</v>
      </c>
      <c r="C649" t="s">
        <v>2163</v>
      </c>
    </row>
    <row r="650" spans="1:3" x14ac:dyDescent="0.3">
      <c r="A650" t="s">
        <v>2164</v>
      </c>
      <c r="B650" t="s">
        <v>839</v>
      </c>
      <c r="C650" t="s">
        <v>2165</v>
      </c>
    </row>
    <row r="651" spans="1:3" x14ac:dyDescent="0.3">
      <c r="A651" t="s">
        <v>2166</v>
      </c>
      <c r="B651" t="s">
        <v>840</v>
      </c>
      <c r="C651" t="s">
        <v>2167</v>
      </c>
    </row>
    <row r="652" spans="1:3" x14ac:dyDescent="0.3">
      <c r="A652" t="s">
        <v>2168</v>
      </c>
      <c r="B652" t="s">
        <v>839</v>
      </c>
      <c r="C652" t="s">
        <v>2169</v>
      </c>
    </row>
    <row r="653" spans="1:3" x14ac:dyDescent="0.3">
      <c r="A653" t="s">
        <v>2170</v>
      </c>
      <c r="B653" t="s">
        <v>839</v>
      </c>
      <c r="C653" t="s">
        <v>2171</v>
      </c>
    </row>
    <row r="654" spans="1:3" x14ac:dyDescent="0.3">
      <c r="A654" t="s">
        <v>2172</v>
      </c>
      <c r="B654" t="s">
        <v>839</v>
      </c>
      <c r="C654" t="s">
        <v>2173</v>
      </c>
    </row>
    <row r="655" spans="1:3" x14ac:dyDescent="0.3">
      <c r="A655" t="s">
        <v>2174</v>
      </c>
      <c r="B655" t="s">
        <v>839</v>
      </c>
      <c r="C655" t="s">
        <v>2175</v>
      </c>
    </row>
    <row r="656" spans="1:3" x14ac:dyDescent="0.3">
      <c r="A656" t="s">
        <v>2176</v>
      </c>
      <c r="B656" t="s">
        <v>839</v>
      </c>
      <c r="C656" t="s">
        <v>2177</v>
      </c>
    </row>
    <row r="657" spans="1:3" x14ac:dyDescent="0.3">
      <c r="A657" t="s">
        <v>2178</v>
      </c>
      <c r="B657" t="s">
        <v>839</v>
      </c>
      <c r="C657" t="s">
        <v>2179</v>
      </c>
    </row>
    <row r="658" spans="1:3" x14ac:dyDescent="0.3">
      <c r="A658" t="s">
        <v>2180</v>
      </c>
      <c r="B658" t="s">
        <v>840</v>
      </c>
      <c r="C658" t="s">
        <v>2181</v>
      </c>
    </row>
    <row r="659" spans="1:3" x14ac:dyDescent="0.3">
      <c r="A659" t="s">
        <v>2182</v>
      </c>
      <c r="B659" t="s">
        <v>839</v>
      </c>
      <c r="C659" t="s">
        <v>2183</v>
      </c>
    </row>
    <row r="660" spans="1:3" x14ac:dyDescent="0.3">
      <c r="A660" t="s">
        <v>2184</v>
      </c>
      <c r="B660" t="s">
        <v>839</v>
      </c>
      <c r="C660" t="s">
        <v>2185</v>
      </c>
    </row>
    <row r="661" spans="1:3" x14ac:dyDescent="0.3">
      <c r="A661" t="s">
        <v>2186</v>
      </c>
      <c r="B661" t="s">
        <v>839</v>
      </c>
      <c r="C661" t="s">
        <v>2187</v>
      </c>
    </row>
    <row r="662" spans="1:3" x14ac:dyDescent="0.3">
      <c r="A662" t="s">
        <v>2188</v>
      </c>
      <c r="B662" t="s">
        <v>840</v>
      </c>
      <c r="C662" t="s">
        <v>2189</v>
      </c>
    </row>
    <row r="663" spans="1:3" x14ac:dyDescent="0.3">
      <c r="A663" t="s">
        <v>2190</v>
      </c>
      <c r="B663" t="s">
        <v>839</v>
      </c>
      <c r="C663" t="s">
        <v>2191</v>
      </c>
    </row>
    <row r="664" spans="1:3" x14ac:dyDescent="0.3">
      <c r="A664" t="s">
        <v>2192</v>
      </c>
      <c r="B664" t="s">
        <v>840</v>
      </c>
      <c r="C664" t="s">
        <v>2193</v>
      </c>
    </row>
    <row r="665" spans="1:3" x14ac:dyDescent="0.3">
      <c r="A665" t="s">
        <v>2194</v>
      </c>
      <c r="B665" t="s">
        <v>839</v>
      </c>
      <c r="C665" t="s">
        <v>2195</v>
      </c>
    </row>
    <row r="666" spans="1:3" x14ac:dyDescent="0.3">
      <c r="A666" t="s">
        <v>2196</v>
      </c>
      <c r="B666" t="s">
        <v>840</v>
      </c>
      <c r="C666" t="s">
        <v>2197</v>
      </c>
    </row>
    <row r="667" spans="1:3" x14ac:dyDescent="0.3">
      <c r="A667" t="s">
        <v>2198</v>
      </c>
      <c r="B667" t="s">
        <v>840</v>
      </c>
      <c r="C667" t="s">
        <v>2199</v>
      </c>
    </row>
    <row r="668" spans="1:3" x14ac:dyDescent="0.3">
      <c r="A668" t="s">
        <v>2200</v>
      </c>
      <c r="B668" t="s">
        <v>839</v>
      </c>
      <c r="C668" t="s">
        <v>2201</v>
      </c>
    </row>
    <row r="669" spans="1:3" x14ac:dyDescent="0.3">
      <c r="A669" t="s">
        <v>2202</v>
      </c>
      <c r="B669" t="s">
        <v>839</v>
      </c>
      <c r="C669" t="s">
        <v>2203</v>
      </c>
    </row>
    <row r="670" spans="1:3" x14ac:dyDescent="0.3">
      <c r="A670" t="s">
        <v>2204</v>
      </c>
      <c r="B670" t="s">
        <v>839</v>
      </c>
      <c r="C670" t="s">
        <v>2205</v>
      </c>
    </row>
    <row r="671" spans="1:3" x14ac:dyDescent="0.3">
      <c r="A671" t="s">
        <v>2206</v>
      </c>
      <c r="B671" t="s">
        <v>839</v>
      </c>
      <c r="C671" t="s">
        <v>2207</v>
      </c>
    </row>
    <row r="672" spans="1:3" x14ac:dyDescent="0.3">
      <c r="A672" t="s">
        <v>2208</v>
      </c>
      <c r="B672" t="s">
        <v>840</v>
      </c>
      <c r="C672" t="s">
        <v>2209</v>
      </c>
    </row>
    <row r="673" spans="1:3" x14ac:dyDescent="0.3">
      <c r="A673" t="s">
        <v>2210</v>
      </c>
      <c r="B673" t="s">
        <v>840</v>
      </c>
      <c r="C673" t="s">
        <v>2211</v>
      </c>
    </row>
    <row r="674" spans="1:3" x14ac:dyDescent="0.3">
      <c r="A674" t="s">
        <v>2212</v>
      </c>
      <c r="B674" t="s">
        <v>839</v>
      </c>
      <c r="C674" t="s">
        <v>2213</v>
      </c>
    </row>
    <row r="675" spans="1:3" x14ac:dyDescent="0.3">
      <c r="A675" t="s">
        <v>2214</v>
      </c>
      <c r="B675" t="s">
        <v>840</v>
      </c>
      <c r="C675" t="s">
        <v>2215</v>
      </c>
    </row>
    <row r="676" spans="1:3" x14ac:dyDescent="0.3">
      <c r="A676" t="s">
        <v>2216</v>
      </c>
      <c r="B676" t="s">
        <v>839</v>
      </c>
      <c r="C676" t="s">
        <v>2217</v>
      </c>
    </row>
    <row r="677" spans="1:3" x14ac:dyDescent="0.3">
      <c r="A677" t="s">
        <v>2218</v>
      </c>
      <c r="B677" t="s">
        <v>839</v>
      </c>
      <c r="C677" t="s">
        <v>2219</v>
      </c>
    </row>
    <row r="678" spans="1:3" x14ac:dyDescent="0.3">
      <c r="A678" t="s">
        <v>2220</v>
      </c>
      <c r="B678" t="s">
        <v>839</v>
      </c>
      <c r="C678" t="s">
        <v>2221</v>
      </c>
    </row>
    <row r="679" spans="1:3" x14ac:dyDescent="0.3">
      <c r="A679" t="s">
        <v>2222</v>
      </c>
      <c r="B679" t="s">
        <v>839</v>
      </c>
      <c r="C679" t="s">
        <v>2223</v>
      </c>
    </row>
    <row r="680" spans="1:3" x14ac:dyDescent="0.3">
      <c r="A680" t="s">
        <v>2224</v>
      </c>
      <c r="B680" t="s">
        <v>840</v>
      </c>
      <c r="C680" t="s">
        <v>2225</v>
      </c>
    </row>
    <row r="681" spans="1:3" x14ac:dyDescent="0.3">
      <c r="A681" t="s">
        <v>2226</v>
      </c>
      <c r="B681" t="s">
        <v>839</v>
      </c>
      <c r="C681" t="s">
        <v>2227</v>
      </c>
    </row>
    <row r="682" spans="1:3" x14ac:dyDescent="0.3">
      <c r="A682" t="s">
        <v>2228</v>
      </c>
      <c r="B682" t="s">
        <v>840</v>
      </c>
      <c r="C682" t="s">
        <v>2229</v>
      </c>
    </row>
    <row r="683" spans="1:3" x14ac:dyDescent="0.3">
      <c r="A683" t="s">
        <v>2230</v>
      </c>
      <c r="B683" t="s">
        <v>840</v>
      </c>
      <c r="C683" t="s">
        <v>2231</v>
      </c>
    </row>
    <row r="684" spans="1:3" x14ac:dyDescent="0.3">
      <c r="A684" t="s">
        <v>2232</v>
      </c>
      <c r="B684" t="s">
        <v>840</v>
      </c>
      <c r="C684" t="s">
        <v>2233</v>
      </c>
    </row>
    <row r="685" spans="1:3" x14ac:dyDescent="0.3">
      <c r="A685" t="s">
        <v>2234</v>
      </c>
      <c r="B685" t="s">
        <v>839</v>
      </c>
      <c r="C685" t="s">
        <v>2235</v>
      </c>
    </row>
    <row r="686" spans="1:3" x14ac:dyDescent="0.3">
      <c r="A686" t="s">
        <v>2236</v>
      </c>
      <c r="B686" t="s">
        <v>839</v>
      </c>
      <c r="C686" t="s">
        <v>2237</v>
      </c>
    </row>
    <row r="687" spans="1:3" x14ac:dyDescent="0.3">
      <c r="A687" t="s">
        <v>2238</v>
      </c>
      <c r="B687" t="s">
        <v>839</v>
      </c>
      <c r="C687" t="s">
        <v>2239</v>
      </c>
    </row>
    <row r="688" spans="1:3" x14ac:dyDescent="0.3">
      <c r="A688" t="s">
        <v>2240</v>
      </c>
      <c r="B688" t="s">
        <v>840</v>
      </c>
      <c r="C688" t="s">
        <v>2241</v>
      </c>
    </row>
    <row r="689" spans="1:3" x14ac:dyDescent="0.3">
      <c r="A689" t="s">
        <v>2242</v>
      </c>
      <c r="B689" t="s">
        <v>840</v>
      </c>
      <c r="C689" t="s">
        <v>2243</v>
      </c>
    </row>
    <row r="690" spans="1:3" x14ac:dyDescent="0.3">
      <c r="A690" t="s">
        <v>2244</v>
      </c>
      <c r="B690" t="s">
        <v>839</v>
      </c>
      <c r="C690" t="s">
        <v>2245</v>
      </c>
    </row>
    <row r="691" spans="1:3" x14ac:dyDescent="0.3">
      <c r="A691" t="s">
        <v>2246</v>
      </c>
      <c r="B691" t="s">
        <v>839</v>
      </c>
      <c r="C691" t="s">
        <v>2247</v>
      </c>
    </row>
    <row r="692" spans="1:3" x14ac:dyDescent="0.3">
      <c r="A692" t="s">
        <v>2248</v>
      </c>
      <c r="B692" t="s">
        <v>840</v>
      </c>
      <c r="C692" t="s">
        <v>2249</v>
      </c>
    </row>
    <row r="693" spans="1:3" x14ac:dyDescent="0.3">
      <c r="A693" t="s">
        <v>2250</v>
      </c>
      <c r="B693" t="s">
        <v>840</v>
      </c>
      <c r="C693" t="s">
        <v>2251</v>
      </c>
    </row>
    <row r="694" spans="1:3" x14ac:dyDescent="0.3">
      <c r="A694" t="s">
        <v>2252</v>
      </c>
      <c r="B694" t="s">
        <v>840</v>
      </c>
      <c r="C694" t="s">
        <v>2253</v>
      </c>
    </row>
    <row r="695" spans="1:3" x14ac:dyDescent="0.3">
      <c r="A695" t="s">
        <v>2254</v>
      </c>
      <c r="B695" t="s">
        <v>840</v>
      </c>
      <c r="C695" t="s">
        <v>2255</v>
      </c>
    </row>
    <row r="696" spans="1:3" x14ac:dyDescent="0.3">
      <c r="A696" t="s">
        <v>2256</v>
      </c>
      <c r="B696" t="s">
        <v>839</v>
      </c>
      <c r="C696" t="s">
        <v>2257</v>
      </c>
    </row>
    <row r="697" spans="1:3" x14ac:dyDescent="0.3">
      <c r="A697" t="s">
        <v>2258</v>
      </c>
      <c r="B697" t="s">
        <v>840</v>
      </c>
      <c r="C697" t="s">
        <v>2259</v>
      </c>
    </row>
    <row r="698" spans="1:3" x14ac:dyDescent="0.3">
      <c r="A698" t="s">
        <v>2260</v>
      </c>
      <c r="B698" t="s">
        <v>840</v>
      </c>
      <c r="C698" t="s">
        <v>2261</v>
      </c>
    </row>
    <row r="699" spans="1:3" x14ac:dyDescent="0.3">
      <c r="A699" t="s">
        <v>2262</v>
      </c>
      <c r="B699" t="s">
        <v>839</v>
      </c>
      <c r="C699" t="s">
        <v>2263</v>
      </c>
    </row>
    <row r="700" spans="1:3" x14ac:dyDescent="0.3">
      <c r="A700" t="s">
        <v>2264</v>
      </c>
      <c r="B700" t="s">
        <v>839</v>
      </c>
      <c r="C700" t="s">
        <v>2265</v>
      </c>
    </row>
    <row r="701" spans="1:3" x14ac:dyDescent="0.3">
      <c r="A701" t="s">
        <v>2266</v>
      </c>
      <c r="B701" t="s">
        <v>840</v>
      </c>
      <c r="C701" t="s">
        <v>2267</v>
      </c>
    </row>
    <row r="702" spans="1:3" x14ac:dyDescent="0.3">
      <c r="A702" t="s">
        <v>2268</v>
      </c>
      <c r="B702" t="s">
        <v>839</v>
      </c>
      <c r="C702" t="s">
        <v>2269</v>
      </c>
    </row>
    <row r="703" spans="1:3" x14ac:dyDescent="0.3">
      <c r="A703" t="s">
        <v>2270</v>
      </c>
      <c r="B703" t="s">
        <v>840</v>
      </c>
      <c r="C703" t="s">
        <v>2271</v>
      </c>
    </row>
    <row r="704" spans="1:3" x14ac:dyDescent="0.3">
      <c r="A704" t="s">
        <v>2272</v>
      </c>
      <c r="B704" t="s">
        <v>839</v>
      </c>
      <c r="C704" t="s">
        <v>2273</v>
      </c>
    </row>
  </sheetData>
  <sheetProtection algorithmName="SHA-512" hashValue="FlFcYyEMBAsZPVMZQUerVQBaols2a+jqj6RBbea62EUocriq93ip6H+kmTH0CX0IeQZKH5srU2a/O/pSMGFUTQ==" saltValue="/p+yvub3dqKgkl/6ZTRyRA==" spinCount="100000" sheet="1" objects="1" scenarios="1"/>
  <mergeCells count="2">
    <mergeCell ref="A1:C1"/>
    <mergeCell ref="A3:C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9" tint="-0.499984740745262"/>
    <pageSetUpPr fitToPage="1"/>
  </sheetPr>
  <dimension ref="C4:P44"/>
  <sheetViews>
    <sheetView showGridLines="0" workbookViewId="0">
      <selection activeCell="I7" sqref="I7:P7"/>
    </sheetView>
  </sheetViews>
  <sheetFormatPr baseColWidth="10" defaultColWidth="9.109375" defaultRowHeight="14.4" x14ac:dyDescent="0.3"/>
  <sheetData>
    <row r="4" spans="3:16" x14ac:dyDescent="0.3">
      <c r="I4" s="595" t="s">
        <v>701</v>
      </c>
      <c r="J4" s="595"/>
      <c r="K4" s="595"/>
      <c r="L4" s="595"/>
      <c r="M4" s="595"/>
      <c r="N4" s="595"/>
      <c r="O4" s="595"/>
      <c r="P4" s="595"/>
    </row>
    <row r="5" spans="3:16" x14ac:dyDescent="0.3">
      <c r="J5" s="595" t="s">
        <v>700</v>
      </c>
      <c r="K5" s="595"/>
      <c r="L5" s="595"/>
      <c r="M5" s="595"/>
      <c r="N5" s="595"/>
      <c r="O5" s="595"/>
      <c r="P5" s="595"/>
    </row>
    <row r="6" spans="3:16" x14ac:dyDescent="0.3">
      <c r="I6" s="596" t="str">
        <f>"Version "&amp;RIGHT('Suivi modif'!B5,LEN('Suivi modif'!B5)-1)</f>
        <v>Version 1.15</v>
      </c>
      <c r="J6" s="596"/>
      <c r="K6" s="596"/>
      <c r="L6" s="596"/>
      <c r="M6" s="596"/>
      <c r="N6" s="596"/>
      <c r="O6" s="596"/>
      <c r="P6" s="596"/>
    </row>
    <row r="7" spans="3:16" x14ac:dyDescent="0.3">
      <c r="I7" s="597" t="str">
        <f>"du "&amp;DAY(VLOOKUP('Suivi modif'!B5,'Suivi modif'!A:B,2))&amp;"/"&amp;MONTH(VLOOKUP('Suivi modif'!B5,'Suivi modif'!A:B,2))&amp;"/"&amp;YEAR(VLOOKUP('Suivi modif'!B5,'Suivi modif'!A:B,2))</f>
        <v>du 19/5/2026</v>
      </c>
      <c r="J7" s="597"/>
      <c r="K7" s="597"/>
      <c r="L7" s="597"/>
      <c r="M7" s="597"/>
      <c r="N7" s="597"/>
      <c r="O7" s="597"/>
      <c r="P7" s="597"/>
    </row>
    <row r="12" spans="3:16" ht="29.4" thickBot="1" x14ac:dyDescent="0.6">
      <c r="C12" s="27" t="s">
        <v>553</v>
      </c>
    </row>
    <row r="13" spans="3:16" x14ac:dyDescent="0.3">
      <c r="C13" s="28"/>
      <c r="D13" s="29"/>
      <c r="E13" s="29"/>
      <c r="F13" s="29"/>
      <c r="G13" s="29"/>
      <c r="H13" s="29"/>
      <c r="I13" s="29"/>
      <c r="J13" s="29"/>
      <c r="K13" s="29"/>
      <c r="L13" s="29"/>
      <c r="M13" s="29"/>
      <c r="N13" s="29"/>
      <c r="O13" s="30"/>
    </row>
    <row r="14" spans="3:16" x14ac:dyDescent="0.3">
      <c r="C14" s="31"/>
      <c r="O14" s="32"/>
    </row>
    <row r="15" spans="3:16" x14ac:dyDescent="0.3">
      <c r="C15" s="31"/>
      <c r="O15" s="32"/>
    </row>
    <row r="16" spans="3:16" x14ac:dyDescent="0.3">
      <c r="C16" s="31"/>
      <c r="O16" s="32"/>
    </row>
    <row r="17" spans="3:15" ht="15" thickBot="1" x14ac:dyDescent="0.35">
      <c r="C17" s="33"/>
      <c r="D17" s="34"/>
      <c r="E17" s="34"/>
      <c r="F17" s="34"/>
      <c r="G17" s="34"/>
      <c r="H17" s="34"/>
      <c r="I17" s="34"/>
      <c r="J17" s="34"/>
      <c r="K17" s="34"/>
      <c r="L17" s="34"/>
      <c r="M17" s="34"/>
      <c r="N17" s="34"/>
      <c r="O17" s="35"/>
    </row>
    <row r="21" spans="3:15" ht="29.4" thickBot="1" x14ac:dyDescent="0.6">
      <c r="C21" s="27" t="s">
        <v>554</v>
      </c>
    </row>
    <row r="22" spans="3:15" x14ac:dyDescent="0.3">
      <c r="C22" s="28"/>
      <c r="D22" s="29"/>
      <c r="E22" s="29"/>
      <c r="F22" s="29"/>
      <c r="G22" s="29"/>
      <c r="H22" s="29"/>
      <c r="I22" s="29"/>
      <c r="J22" s="29"/>
      <c r="K22" s="29"/>
      <c r="L22" s="29"/>
      <c r="M22" s="29"/>
      <c r="N22" s="29"/>
      <c r="O22" s="30"/>
    </row>
    <row r="23" spans="3:15" x14ac:dyDescent="0.3">
      <c r="C23" s="31"/>
      <c r="O23" s="32"/>
    </row>
    <row r="24" spans="3:15" x14ac:dyDescent="0.3">
      <c r="C24" s="31"/>
      <c r="O24" s="32"/>
    </row>
    <row r="25" spans="3:15" x14ac:dyDescent="0.3">
      <c r="C25" s="31"/>
      <c r="O25" s="32"/>
    </row>
    <row r="26" spans="3:15" ht="15" thickBot="1" x14ac:dyDescent="0.35">
      <c r="C26" s="33"/>
      <c r="D26" s="34"/>
      <c r="E26" s="34"/>
      <c r="F26" s="34"/>
      <c r="G26" s="34"/>
      <c r="H26" s="34"/>
      <c r="I26" s="34"/>
      <c r="J26" s="34"/>
      <c r="K26" s="34"/>
      <c r="L26" s="34"/>
      <c r="M26" s="34"/>
      <c r="N26" s="34"/>
      <c r="O26" s="35"/>
    </row>
    <row r="30" spans="3:15" ht="29.4" thickBot="1" x14ac:dyDescent="0.6">
      <c r="C30" s="27" t="s">
        <v>67</v>
      </c>
    </row>
    <row r="31" spans="3:15" x14ac:dyDescent="0.3">
      <c r="C31" s="28"/>
      <c r="D31" s="29"/>
      <c r="E31" s="29"/>
      <c r="F31" s="29"/>
      <c r="G31" s="29"/>
      <c r="H31" s="29"/>
      <c r="I31" s="29"/>
      <c r="J31" s="29"/>
      <c r="K31" s="29"/>
      <c r="L31" s="29"/>
      <c r="M31" s="29"/>
      <c r="N31" s="29"/>
      <c r="O31" s="30"/>
    </row>
    <row r="32" spans="3:15" x14ac:dyDescent="0.3">
      <c r="C32" s="31"/>
      <c r="O32" s="32"/>
    </row>
    <row r="33" spans="3:15" x14ac:dyDescent="0.3">
      <c r="C33" s="31"/>
      <c r="O33" s="32"/>
    </row>
    <row r="34" spans="3:15" x14ac:dyDescent="0.3">
      <c r="C34" s="31"/>
      <c r="O34" s="32"/>
    </row>
    <row r="35" spans="3:15" ht="15" thickBot="1" x14ac:dyDescent="0.35">
      <c r="C35" s="33"/>
      <c r="D35" s="34"/>
      <c r="E35" s="34"/>
      <c r="F35" s="34"/>
      <c r="G35" s="34"/>
      <c r="H35" s="34"/>
      <c r="I35" s="34"/>
      <c r="J35" s="34"/>
      <c r="K35" s="34"/>
      <c r="L35" s="34"/>
      <c r="M35" s="34"/>
      <c r="N35" s="34"/>
      <c r="O35" s="35"/>
    </row>
    <row r="38" spans="3:15" ht="29.4" thickBot="1" x14ac:dyDescent="0.6">
      <c r="C38" s="312" t="s">
        <v>2367</v>
      </c>
    </row>
    <row r="39" spans="3:15" x14ac:dyDescent="0.3">
      <c r="C39" s="79"/>
      <c r="D39" s="80"/>
      <c r="E39" s="80"/>
      <c r="F39" s="80"/>
      <c r="G39" s="80"/>
      <c r="H39" s="80"/>
      <c r="I39" s="80"/>
      <c r="J39" s="80"/>
      <c r="K39" s="80"/>
      <c r="L39" s="80"/>
      <c r="M39" s="80"/>
      <c r="N39" s="80"/>
      <c r="O39" s="81"/>
    </row>
    <row r="40" spans="3:15" x14ac:dyDescent="0.3">
      <c r="C40" s="82"/>
      <c r="D40" s="313"/>
      <c r="E40" t="s">
        <v>2275</v>
      </c>
      <c r="O40" s="51"/>
    </row>
    <row r="41" spans="3:15" x14ac:dyDescent="0.3">
      <c r="C41" s="82"/>
      <c r="D41" s="314"/>
      <c r="E41" t="s">
        <v>2276</v>
      </c>
      <c r="O41" s="51"/>
    </row>
    <row r="42" spans="3:15" x14ac:dyDescent="0.3">
      <c r="C42" s="82"/>
      <c r="D42" s="315"/>
      <c r="E42" t="s">
        <v>3203</v>
      </c>
      <c r="O42" s="51"/>
    </row>
    <row r="43" spans="3:15" x14ac:dyDescent="0.3">
      <c r="C43" s="82"/>
      <c r="D43" s="316"/>
      <c r="E43" t="s">
        <v>3206</v>
      </c>
      <c r="O43" s="51"/>
    </row>
    <row r="44" spans="3:15" ht="15" thickBot="1" x14ac:dyDescent="0.35">
      <c r="C44" s="83"/>
      <c r="D44" s="84"/>
      <c r="E44" s="84"/>
      <c r="F44" s="84"/>
      <c r="G44" s="84"/>
      <c r="H44" s="84"/>
      <c r="I44" s="84"/>
      <c r="J44" s="84"/>
      <c r="K44" s="84"/>
      <c r="L44" s="84"/>
      <c r="M44" s="84"/>
      <c r="N44" s="84"/>
      <c r="O44" s="50"/>
    </row>
  </sheetData>
  <sheetProtection algorithmName="SHA-512" hashValue="lOcK2c8c9bGLcPgJ18A/Nagt2k5mChp6Exdd/2CW+W8XgKlM+guYOyunrmFsTzm5ANDEomLmH6wfN1sVT0sRfA==" saltValue="6kvdGn5RnZwYnS9OfJ3BWg==" spinCount="100000" sheet="1" objects="1" scenarios="1"/>
  <mergeCells count="4">
    <mergeCell ref="J5:P5"/>
    <mergeCell ref="I4:P4"/>
    <mergeCell ref="I6:P6"/>
    <mergeCell ref="I7:P7"/>
  </mergeCells>
  <pageMargins left="0.7" right="0.7" top="0.75" bottom="0.75" header="0.3" footer="0.3"/>
  <pageSetup paperSize="9" scale="5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euil6">
    <tabColor theme="1" tint="0.14999847407452621"/>
  </sheetPr>
  <dimension ref="A1:JB7"/>
  <sheetViews>
    <sheetView zoomScaleNormal="100" workbookViewId="0">
      <selection activeCell="A7" sqref="A7"/>
    </sheetView>
  </sheetViews>
  <sheetFormatPr baseColWidth="10" defaultColWidth="11.44140625" defaultRowHeight="10.199999999999999" x14ac:dyDescent="0.2"/>
  <cols>
    <col min="1" max="1" width="11.44140625" style="412" customWidth="1"/>
    <col min="2" max="2" width="14.44140625" style="412" bestFit="1" customWidth="1"/>
    <col min="3" max="7" width="11.44140625" style="412" customWidth="1"/>
    <col min="8" max="8" width="13.88671875" style="412" bestFit="1" customWidth="1"/>
    <col min="9" max="9" width="11.44140625" style="412" customWidth="1"/>
    <col min="10" max="10" width="15.5546875" style="412" customWidth="1"/>
    <col min="11" max="11" width="11.44140625" style="412" customWidth="1"/>
    <col min="12" max="12" width="18.88671875" style="412" bestFit="1" customWidth="1"/>
    <col min="13" max="13" width="14.5546875" style="412" bestFit="1" customWidth="1"/>
    <col min="14" max="23" width="11.44140625" style="412" customWidth="1"/>
    <col min="24" max="216" width="11.44140625" style="412"/>
    <col min="217" max="217" width="18.5546875" style="412" customWidth="1"/>
    <col min="218" max="224" width="11.44140625" style="412"/>
    <col min="225" max="225" width="21.5546875" style="412" bestFit="1" customWidth="1"/>
    <col min="226" max="227" width="11.44140625" style="412" customWidth="1"/>
    <col min="228" max="237" width="11.44140625" style="412"/>
    <col min="238" max="240" width="12.33203125" style="412" customWidth="1"/>
    <col min="241" max="16384" width="11.44140625" style="412"/>
  </cols>
  <sheetData>
    <row r="1" spans="1:262" ht="14.4" x14ac:dyDescent="0.3">
      <c r="A1" s="118" t="s">
        <v>3357</v>
      </c>
    </row>
    <row r="2" spans="1:262" ht="13.8" x14ac:dyDescent="0.3">
      <c r="A2" s="539" t="s">
        <v>3195</v>
      </c>
    </row>
    <row r="3" spans="1:262" x14ac:dyDescent="0.2">
      <c r="W3" s="432"/>
      <c r="HH3" s="432"/>
      <c r="HQ3" s="431"/>
      <c r="HR3" s="431"/>
    </row>
    <row r="4" spans="1:262" s="420" customFormat="1" ht="15" customHeight="1" x14ac:dyDescent="0.2">
      <c r="A4" s="1143" t="s">
        <v>2897</v>
      </c>
      <c r="B4" s="1143"/>
      <c r="C4" s="1143"/>
      <c r="D4" s="1143"/>
      <c r="E4" s="1143"/>
      <c r="F4" s="1143"/>
      <c r="G4" s="1143"/>
      <c r="H4" s="1143"/>
      <c r="I4" s="1143"/>
      <c r="J4" s="1143"/>
      <c r="K4" s="1143"/>
      <c r="L4" s="1143"/>
      <c r="M4" s="1143"/>
      <c r="N4" s="1143"/>
      <c r="O4" s="1143"/>
      <c r="P4" s="1143"/>
      <c r="Q4" s="1143"/>
      <c r="R4" s="1143"/>
      <c r="S4" s="1143"/>
      <c r="T4" s="1143"/>
      <c r="U4" s="1143"/>
      <c r="V4" s="1143"/>
      <c r="W4" s="1143"/>
      <c r="X4" s="1143"/>
      <c r="Y4" s="1143"/>
      <c r="Z4" s="1143"/>
      <c r="AA4" s="1143"/>
      <c r="AB4" s="1143"/>
      <c r="AC4" s="1143"/>
      <c r="AD4" s="1143"/>
      <c r="AE4" s="1143"/>
      <c r="AF4" s="1143"/>
      <c r="AG4" s="1143"/>
      <c r="AH4" s="1143"/>
      <c r="AI4" s="1143"/>
      <c r="AJ4" s="1143"/>
      <c r="AK4" s="1144" t="s">
        <v>2898</v>
      </c>
      <c r="AL4" s="1144"/>
      <c r="AM4" s="1144"/>
      <c r="AN4" s="1144"/>
      <c r="AO4" s="1144"/>
      <c r="AP4" s="1144"/>
      <c r="AQ4" s="1144"/>
      <c r="AR4" s="1144"/>
      <c r="AS4" s="1144"/>
      <c r="AT4" s="1144"/>
      <c r="AU4" s="1144"/>
      <c r="AV4" s="1144"/>
      <c r="AW4" s="1144"/>
      <c r="AX4" s="1144"/>
      <c r="AY4" s="1144"/>
      <c r="AZ4" s="1138" t="s">
        <v>2958</v>
      </c>
      <c r="BA4" s="1138"/>
      <c r="BB4" s="1138"/>
      <c r="BC4" s="1138"/>
      <c r="BD4" s="1138"/>
      <c r="BE4" s="1137" t="s">
        <v>2586</v>
      </c>
      <c r="BF4" s="1137"/>
      <c r="BG4" s="1137"/>
      <c r="BH4" s="1137"/>
      <c r="BI4" s="1137"/>
      <c r="BJ4" s="1137"/>
      <c r="BK4" s="1137"/>
      <c r="BL4" s="1137"/>
      <c r="BM4" s="1137"/>
      <c r="BN4" s="1137"/>
      <c r="BO4" s="1137"/>
      <c r="BP4" s="1137"/>
      <c r="BQ4" s="1137"/>
      <c r="BR4" s="1137"/>
      <c r="BS4" s="1137"/>
      <c r="BT4" s="1137"/>
      <c r="BU4" s="1137"/>
      <c r="BV4" s="1137"/>
      <c r="BW4" s="1137"/>
      <c r="BX4" s="1137"/>
      <c r="BY4" s="1137"/>
      <c r="BZ4" s="1137"/>
      <c r="CA4" s="1137"/>
      <c r="CB4" s="1137"/>
      <c r="CC4" s="1137"/>
      <c r="CD4" s="1137"/>
      <c r="CE4" s="1137"/>
      <c r="CF4" s="1137"/>
      <c r="CG4" s="1137"/>
      <c r="CH4" s="1137"/>
      <c r="CI4" s="1137"/>
      <c r="CJ4" s="1137"/>
      <c r="CK4" s="1137"/>
      <c r="CL4" s="1137"/>
      <c r="CM4" s="1137"/>
      <c r="CN4" s="1137"/>
      <c r="CO4" s="1137"/>
      <c r="CP4" s="1137"/>
      <c r="CQ4" s="1137"/>
      <c r="CR4" s="1137"/>
      <c r="CS4" s="1137"/>
      <c r="CT4" s="1137"/>
      <c r="CU4" s="1137"/>
      <c r="CV4" s="1144" t="s">
        <v>2626</v>
      </c>
      <c r="CW4" s="1144"/>
      <c r="CX4" s="1144"/>
      <c r="CY4" s="1144"/>
      <c r="CZ4" s="1144"/>
      <c r="DA4" s="1144"/>
      <c r="DB4" s="1144"/>
      <c r="DC4" s="1144"/>
      <c r="DD4" s="1144"/>
      <c r="DE4" s="1144"/>
      <c r="DF4" s="1144"/>
      <c r="DG4" s="1144"/>
      <c r="DH4" s="1144"/>
      <c r="DI4" s="1144"/>
      <c r="DJ4" s="1144"/>
      <c r="DK4" s="1144"/>
      <c r="DL4" s="1144"/>
      <c r="DM4" s="1144"/>
      <c r="DN4" s="1144"/>
      <c r="DO4" s="1144"/>
      <c r="DP4" s="1144"/>
      <c r="DQ4" s="1144"/>
      <c r="DR4" s="1144"/>
      <c r="DS4" s="1144"/>
      <c r="DT4" s="1144"/>
      <c r="DU4" s="1144"/>
      <c r="DV4" s="1144"/>
      <c r="DW4" s="1144"/>
      <c r="DX4" s="1144"/>
      <c r="DY4" s="1144"/>
      <c r="DZ4" s="1144"/>
      <c r="EA4" s="1144"/>
      <c r="EB4" s="1144"/>
      <c r="EC4" s="1144"/>
      <c r="ED4" s="1144"/>
      <c r="EE4" s="1144"/>
      <c r="EF4" s="1144"/>
      <c r="EG4" s="1144"/>
      <c r="EH4" s="1144"/>
      <c r="EI4" s="1144"/>
      <c r="EJ4" s="1144"/>
      <c r="EK4" s="1144"/>
      <c r="EL4" s="1144"/>
      <c r="EM4" s="1144"/>
      <c r="EN4" s="1144"/>
      <c r="EO4" s="1144"/>
      <c r="EP4" s="1144"/>
      <c r="EQ4" s="1144"/>
      <c r="ER4" s="1144"/>
      <c r="ES4" s="1144"/>
      <c r="ET4" s="1144"/>
      <c r="EU4" s="1144"/>
      <c r="EV4" s="1144"/>
      <c r="EW4" s="1144"/>
      <c r="EX4" s="1144"/>
      <c r="EY4" s="1144"/>
      <c r="EZ4" s="1144"/>
      <c r="FA4" s="1144"/>
      <c r="FB4" s="1147" t="s">
        <v>2682</v>
      </c>
      <c r="FC4" s="1147"/>
      <c r="FD4" s="1147"/>
      <c r="FE4" s="1147"/>
      <c r="FF4" s="1147"/>
      <c r="FG4" s="1147"/>
      <c r="FH4" s="1147"/>
      <c r="FI4" s="1147"/>
      <c r="FJ4" s="1147"/>
      <c r="FK4" s="1147"/>
      <c r="FL4" s="1147"/>
      <c r="FM4" s="1147"/>
      <c r="FN4" s="1147"/>
      <c r="FO4" s="1147"/>
      <c r="FP4" s="1147"/>
      <c r="FQ4" s="1147"/>
      <c r="FR4" s="1147"/>
      <c r="FS4" s="1147"/>
      <c r="FT4" s="1147"/>
      <c r="FU4" s="1147"/>
      <c r="FV4" s="1147"/>
      <c r="FW4" s="1147"/>
      <c r="FX4" s="1147"/>
      <c r="FY4" s="1147"/>
      <c r="FZ4" s="1147"/>
      <c r="GA4" s="1147"/>
      <c r="GB4" s="1147"/>
      <c r="GC4" s="1147"/>
      <c r="GD4" s="1147"/>
      <c r="GE4" s="1147"/>
      <c r="GF4" s="1147"/>
      <c r="GG4" s="1147"/>
      <c r="GH4" s="1147"/>
      <c r="GI4" s="1147"/>
      <c r="GJ4" s="1147"/>
      <c r="GK4" s="1147"/>
      <c r="GL4" s="1153" t="s">
        <v>2714</v>
      </c>
      <c r="GM4" s="1153"/>
      <c r="GN4" s="1153"/>
      <c r="GO4" s="1153"/>
      <c r="GP4" s="1153"/>
      <c r="GQ4" s="1153"/>
      <c r="GR4" s="1153"/>
      <c r="GS4" s="1153"/>
      <c r="GT4" s="1153"/>
      <c r="GU4" s="1153"/>
      <c r="GV4" s="1153"/>
      <c r="GW4" s="1153"/>
      <c r="GX4" s="1153"/>
      <c r="GY4" s="1153"/>
      <c r="GZ4" s="1153"/>
      <c r="HA4" s="1153"/>
      <c r="HB4" s="1153"/>
      <c r="HC4" s="1153"/>
      <c r="HD4" s="1153"/>
      <c r="HE4" s="1153"/>
      <c r="HF4" s="1153"/>
      <c r="HG4" s="1153"/>
      <c r="HH4" s="1154" t="s">
        <v>2752</v>
      </c>
      <c r="HI4" s="1154" t="s">
        <v>2818</v>
      </c>
      <c r="HJ4" s="1144" t="s">
        <v>2626</v>
      </c>
      <c r="HK4" s="1144"/>
      <c r="HL4" s="1144"/>
      <c r="HM4" s="1144"/>
      <c r="HN4" s="1144"/>
      <c r="HO4" s="1144"/>
      <c r="HP4" s="1144"/>
      <c r="HQ4" s="537" t="s">
        <v>2897</v>
      </c>
      <c r="HR4" s="1147" t="s">
        <v>2682</v>
      </c>
      <c r="HS4" s="1147"/>
      <c r="HT4" s="1147"/>
      <c r="HU4" s="1147"/>
      <c r="HV4" s="1147"/>
      <c r="HW4" s="1147"/>
      <c r="HX4" s="1147"/>
      <c r="HY4" s="1147"/>
      <c r="HZ4" s="1144" t="s">
        <v>2626</v>
      </c>
      <c r="IA4" s="1144"/>
      <c r="IB4" s="1144"/>
      <c r="IC4" s="565"/>
      <c r="ID4" s="1153" t="s">
        <v>2714</v>
      </c>
      <c r="IE4" s="1153"/>
      <c r="IF4" s="1153"/>
      <c r="IG4" s="1153"/>
      <c r="IH4" s="568"/>
      <c r="II4" s="568"/>
      <c r="IJ4" s="568"/>
      <c r="IK4" s="568"/>
      <c r="IL4" s="568"/>
      <c r="IM4" s="568"/>
      <c r="IN4" s="568"/>
      <c r="IO4" s="568"/>
      <c r="IP4" s="568"/>
      <c r="IQ4" s="568"/>
      <c r="IR4" s="568"/>
      <c r="IS4" s="568"/>
      <c r="IT4" s="568"/>
      <c r="IU4" s="568"/>
      <c r="IV4" s="568"/>
      <c r="IW4" s="568"/>
      <c r="IX4" s="568"/>
      <c r="IY4" s="568"/>
      <c r="IZ4" s="568"/>
      <c r="JA4" s="568"/>
      <c r="JB4" s="568"/>
    </row>
    <row r="5" spans="1:262" s="420" customFormat="1" x14ac:dyDescent="0.2">
      <c r="A5" s="1140" t="s">
        <v>2883</v>
      </c>
      <c r="B5" s="1140"/>
      <c r="C5" s="1140"/>
      <c r="D5" s="1140"/>
      <c r="E5" s="1140"/>
      <c r="F5" s="1140"/>
      <c r="G5" s="1140"/>
      <c r="H5" s="1140"/>
      <c r="I5" s="1140"/>
      <c r="J5" s="1140"/>
      <c r="K5" s="1140"/>
      <c r="L5" s="1140"/>
      <c r="M5" s="1140"/>
      <c r="N5" s="1140"/>
      <c r="O5" s="1140"/>
      <c r="P5" s="1140"/>
      <c r="Q5" s="1141" t="s">
        <v>2737</v>
      </c>
      <c r="R5" s="1141"/>
      <c r="S5" s="1141"/>
      <c r="T5" s="1141"/>
      <c r="U5" s="1141"/>
      <c r="V5" s="1141"/>
      <c r="W5" s="1141"/>
      <c r="X5" s="1141"/>
      <c r="Y5" s="1141"/>
      <c r="Z5" s="1141"/>
      <c r="AA5" s="1140" t="s">
        <v>2894</v>
      </c>
      <c r="AB5" s="1140"/>
      <c r="AC5" s="1140"/>
      <c r="AD5" s="1140"/>
      <c r="AE5" s="1141" t="s">
        <v>2902</v>
      </c>
      <c r="AF5" s="1141"/>
      <c r="AG5" s="1141"/>
      <c r="AH5" s="1141"/>
      <c r="AI5" s="1141"/>
      <c r="AJ5" s="1141"/>
      <c r="AK5" s="1142" t="s">
        <v>2895</v>
      </c>
      <c r="AL5" s="1142"/>
      <c r="AM5" s="1142"/>
      <c r="AN5" s="1142" t="s">
        <v>2739</v>
      </c>
      <c r="AO5" s="1142"/>
      <c r="AP5" s="1142"/>
      <c r="AQ5" s="1142"/>
      <c r="AR5" s="1142"/>
      <c r="AS5" s="1142"/>
      <c r="AT5" s="1142"/>
      <c r="AU5" s="1142"/>
      <c r="AV5" s="1142"/>
      <c r="AW5" s="1142"/>
      <c r="AX5" s="1142"/>
      <c r="AY5" s="1142"/>
      <c r="AZ5" s="1139" t="s">
        <v>2959</v>
      </c>
      <c r="BA5" s="488" t="s">
        <v>2954</v>
      </c>
      <c r="BB5" s="488" t="s">
        <v>2955</v>
      </c>
      <c r="BC5" s="488" t="s">
        <v>2956</v>
      </c>
      <c r="BD5" s="488" t="s">
        <v>2957</v>
      </c>
      <c r="BE5" s="1149" t="s">
        <v>2625</v>
      </c>
      <c r="BF5" s="1149"/>
      <c r="BG5" s="1149"/>
      <c r="BH5" s="1149"/>
      <c r="BI5" s="1149"/>
      <c r="BJ5" s="1149"/>
      <c r="BK5" s="1149"/>
      <c r="BL5" s="1149"/>
      <c r="BM5" s="1149"/>
      <c r="BN5" s="1149"/>
      <c r="BO5" s="1149"/>
      <c r="BP5" s="1149"/>
      <c r="BQ5" s="1149"/>
      <c r="BR5" s="1149"/>
      <c r="BS5" s="1149"/>
      <c r="BT5" s="1149"/>
      <c r="BU5" s="1149"/>
      <c r="BV5" s="1149"/>
      <c r="BW5" s="1149"/>
      <c r="BX5" s="1149"/>
      <c r="BY5" s="1149"/>
      <c r="BZ5" s="1149"/>
      <c r="CA5" s="1149"/>
      <c r="CB5" s="1149"/>
      <c r="CC5" s="1150" t="s">
        <v>2624</v>
      </c>
      <c r="CD5" s="1150"/>
      <c r="CE5" s="1150"/>
      <c r="CF5" s="1150"/>
      <c r="CG5" s="1149" t="s">
        <v>2623</v>
      </c>
      <c r="CH5" s="1149"/>
      <c r="CI5" s="1149"/>
      <c r="CJ5" s="1150" t="s">
        <v>2622</v>
      </c>
      <c r="CK5" s="1150"/>
      <c r="CL5" s="1149" t="s">
        <v>2621</v>
      </c>
      <c r="CM5" s="1149"/>
      <c r="CN5" s="1150" t="s">
        <v>2620</v>
      </c>
      <c r="CO5" s="1150"/>
      <c r="CP5" s="1149" t="s">
        <v>2617</v>
      </c>
      <c r="CQ5" s="1149"/>
      <c r="CR5" s="1149"/>
      <c r="CS5" s="1150" t="s">
        <v>2618</v>
      </c>
      <c r="CT5" s="1150"/>
      <c r="CU5" s="1150"/>
      <c r="CV5" s="1148" t="s">
        <v>2627</v>
      </c>
      <c r="CW5" s="1148"/>
      <c r="CX5" s="1148"/>
      <c r="CY5" s="1148"/>
      <c r="CZ5" s="1142" t="s">
        <v>2631</v>
      </c>
      <c r="DA5" s="1142"/>
      <c r="DB5" s="1142"/>
      <c r="DC5" s="1142"/>
      <c r="DD5" s="1142"/>
      <c r="DE5" s="1148" t="s">
        <v>2634</v>
      </c>
      <c r="DF5" s="1148"/>
      <c r="DG5" s="1148"/>
      <c r="DH5" s="1148"/>
      <c r="DI5" s="1148"/>
      <c r="DJ5" s="1148"/>
      <c r="DK5" s="1148"/>
      <c r="DL5" s="1148"/>
      <c r="DM5" s="1148"/>
      <c r="DN5" s="1148"/>
      <c r="DO5" s="1148"/>
      <c r="DP5" s="1148"/>
      <c r="DQ5" s="1148"/>
      <c r="DR5" s="1148"/>
      <c r="DS5" s="1148"/>
      <c r="DT5" s="1142" t="s">
        <v>2697</v>
      </c>
      <c r="DU5" s="1142"/>
      <c r="DV5" s="1148" t="s">
        <v>2651</v>
      </c>
      <c r="DW5" s="1148"/>
      <c r="DX5" s="1148"/>
      <c r="DY5" s="1148"/>
      <c r="DZ5" s="1148"/>
      <c r="EA5" s="1148"/>
      <c r="EB5" s="1142" t="s">
        <v>2658</v>
      </c>
      <c r="EC5" s="1142"/>
      <c r="ED5" s="1142"/>
      <c r="EE5" s="1142"/>
      <c r="EF5" s="1142"/>
      <c r="EG5" s="1148" t="s">
        <v>2661</v>
      </c>
      <c r="EH5" s="1148"/>
      <c r="EI5" s="1142" t="s">
        <v>2681</v>
      </c>
      <c r="EJ5" s="1142"/>
      <c r="EK5" s="1142"/>
      <c r="EL5" s="1142"/>
      <c r="EM5" s="1142"/>
      <c r="EN5" s="1148" t="s">
        <v>2667</v>
      </c>
      <c r="EO5" s="1148"/>
      <c r="EP5" s="1148"/>
      <c r="EQ5" s="1148"/>
      <c r="ER5" s="1148"/>
      <c r="ES5" s="1148"/>
      <c r="ET5" s="1148"/>
      <c r="EU5" s="1142" t="s">
        <v>2672</v>
      </c>
      <c r="EV5" s="1142"/>
      <c r="EW5" s="1142"/>
      <c r="EX5" s="1142"/>
      <c r="EY5" s="1142"/>
      <c r="EZ5" s="1142"/>
      <c r="FA5" s="1142"/>
      <c r="FB5" s="1145" t="s">
        <v>2683</v>
      </c>
      <c r="FC5" s="1145"/>
      <c r="FD5" s="1145"/>
      <c r="FE5" s="1145"/>
      <c r="FF5" s="1145"/>
      <c r="FG5" s="1145"/>
      <c r="FH5" s="1145"/>
      <c r="FI5" s="1146" t="s">
        <v>2690</v>
      </c>
      <c r="FJ5" s="1146"/>
      <c r="FK5" s="1145" t="s">
        <v>2691</v>
      </c>
      <c r="FL5" s="1145"/>
      <c r="FM5" s="1146" t="s">
        <v>2692</v>
      </c>
      <c r="FN5" s="1146"/>
      <c r="FO5" s="1146"/>
      <c r="FP5" s="1146"/>
      <c r="FQ5" s="1145" t="s">
        <v>2696</v>
      </c>
      <c r="FR5" s="1145"/>
      <c r="FS5" s="1145"/>
      <c r="FT5" s="1145"/>
      <c r="FU5" s="1146" t="s">
        <v>2698</v>
      </c>
      <c r="FV5" s="1146"/>
      <c r="FW5" s="1146"/>
      <c r="FX5" s="1146"/>
      <c r="FY5" s="1145" t="s">
        <v>2701</v>
      </c>
      <c r="FZ5" s="1145"/>
      <c r="GA5" s="1145"/>
      <c r="GB5" s="1145"/>
      <c r="GC5" s="1145"/>
      <c r="GD5" s="1145"/>
      <c r="GE5" s="1145"/>
      <c r="GF5" s="1145"/>
      <c r="GG5" s="1145"/>
      <c r="GH5" s="1145"/>
      <c r="GI5" s="1146" t="s">
        <v>2712</v>
      </c>
      <c r="GJ5" s="1146"/>
      <c r="GK5" s="1146"/>
      <c r="GL5" s="1151" t="s">
        <v>2715</v>
      </c>
      <c r="GM5" s="1151"/>
      <c r="GN5" s="1152" t="s">
        <v>2718</v>
      </c>
      <c r="GO5" s="1152"/>
      <c r="GP5" s="1152"/>
      <c r="GQ5" s="1151" t="s">
        <v>2721</v>
      </c>
      <c r="GR5" s="1151"/>
      <c r="GS5" s="1151"/>
      <c r="GT5" s="1151"/>
      <c r="GU5" s="1151"/>
      <c r="GV5" s="1151"/>
      <c r="GW5" s="1151"/>
      <c r="GX5" s="1152" t="s">
        <v>2732</v>
      </c>
      <c r="GY5" s="1152"/>
      <c r="GZ5" s="1151" t="s">
        <v>2726</v>
      </c>
      <c r="HA5" s="1151"/>
      <c r="HB5" s="1152" t="s">
        <v>2728</v>
      </c>
      <c r="HC5" s="1152"/>
      <c r="HD5" s="1151" t="s">
        <v>2729</v>
      </c>
      <c r="HE5" s="1151"/>
      <c r="HF5" s="1152" t="s">
        <v>2730</v>
      </c>
      <c r="HG5" s="1152"/>
      <c r="HH5" s="1154"/>
      <c r="HI5" s="1154"/>
      <c r="HJ5" s="1148" t="s">
        <v>2634</v>
      </c>
      <c r="HK5" s="1148"/>
      <c r="HL5" s="1148"/>
      <c r="HM5" s="1148"/>
      <c r="HN5" s="1148"/>
      <c r="HO5" s="1148"/>
      <c r="HP5" s="1148"/>
      <c r="HQ5" s="540" t="s">
        <v>2902</v>
      </c>
      <c r="HR5" s="1145" t="s">
        <v>2701</v>
      </c>
      <c r="HS5" s="1145"/>
      <c r="HT5" s="1145"/>
      <c r="HU5" s="1145"/>
      <c r="HV5" s="1146" t="s">
        <v>3346</v>
      </c>
      <c r="HW5" s="1146"/>
      <c r="HX5" s="1146"/>
      <c r="HY5" s="1146"/>
      <c r="HZ5" s="1148" t="s">
        <v>2634</v>
      </c>
      <c r="IA5" s="1148"/>
      <c r="IB5" s="1148"/>
      <c r="IC5" s="566" t="s">
        <v>3349</v>
      </c>
      <c r="ID5" s="1151" t="s">
        <v>3347</v>
      </c>
      <c r="IE5" s="1151"/>
      <c r="IF5" s="1151"/>
      <c r="IG5" s="1151"/>
      <c r="IH5" s="569"/>
      <c r="II5" s="569"/>
      <c r="IJ5" s="569"/>
      <c r="IK5" s="569"/>
      <c r="IL5" s="569"/>
      <c r="IM5" s="569"/>
      <c r="IN5" s="569"/>
      <c r="IO5" s="569"/>
      <c r="IP5" s="569"/>
      <c r="IQ5" s="569"/>
      <c r="IR5" s="569"/>
      <c r="IS5" s="569"/>
      <c r="IT5" s="569"/>
      <c r="IU5" s="569"/>
      <c r="IV5" s="569"/>
      <c r="IW5" s="569"/>
      <c r="IX5" s="569"/>
      <c r="IY5" s="569"/>
      <c r="IZ5" s="569"/>
      <c r="JA5" s="569"/>
      <c r="JB5" s="569"/>
    </row>
    <row r="6" spans="1:262" s="413" customFormat="1" ht="61.2" x14ac:dyDescent="0.3">
      <c r="A6" s="468" t="s">
        <v>2881</v>
      </c>
      <c r="B6" s="468" t="s">
        <v>852</v>
      </c>
      <c r="C6" s="469" t="s">
        <v>2880</v>
      </c>
      <c r="D6" s="469" t="s">
        <v>853</v>
      </c>
      <c r="E6" s="468" t="s">
        <v>2882</v>
      </c>
      <c r="F6" s="469" t="s">
        <v>854</v>
      </c>
      <c r="G6" s="469" t="s">
        <v>2899</v>
      </c>
      <c r="H6" s="468" t="s">
        <v>855</v>
      </c>
      <c r="I6" s="469" t="s">
        <v>857</v>
      </c>
      <c r="J6" s="469" t="s">
        <v>551</v>
      </c>
      <c r="K6" s="469" t="s">
        <v>856</v>
      </c>
      <c r="L6" s="469" t="s">
        <v>47</v>
      </c>
      <c r="M6" s="470" t="s">
        <v>858</v>
      </c>
      <c r="N6" s="469" t="s">
        <v>2755</v>
      </c>
      <c r="O6" s="469" t="s">
        <v>859</v>
      </c>
      <c r="P6" s="469" t="s">
        <v>2754</v>
      </c>
      <c r="Q6" s="471" t="s">
        <v>2502</v>
      </c>
      <c r="R6" s="471" t="s">
        <v>2884</v>
      </c>
      <c r="S6" s="471" t="s">
        <v>2885</v>
      </c>
      <c r="T6" s="471" t="s">
        <v>2886</v>
      </c>
      <c r="U6" s="471" t="s">
        <v>2887</v>
      </c>
      <c r="V6" s="472" t="s">
        <v>2888</v>
      </c>
      <c r="W6" s="471" t="s">
        <v>2889</v>
      </c>
      <c r="X6" s="471" t="s">
        <v>2381</v>
      </c>
      <c r="Y6" s="471" t="s">
        <v>860</v>
      </c>
      <c r="Z6" s="471" t="s">
        <v>2752</v>
      </c>
      <c r="AA6" s="469" t="s">
        <v>2890</v>
      </c>
      <c r="AB6" s="469" t="s">
        <v>2891</v>
      </c>
      <c r="AC6" s="469" t="s">
        <v>2892</v>
      </c>
      <c r="AD6" s="469" t="s">
        <v>2893</v>
      </c>
      <c r="AE6" s="467" t="s">
        <v>2743</v>
      </c>
      <c r="AF6" s="467" t="s">
        <v>2741</v>
      </c>
      <c r="AG6" s="467" t="s">
        <v>2736</v>
      </c>
      <c r="AH6" s="467" t="s">
        <v>2740</v>
      </c>
      <c r="AI6" s="467" t="s">
        <v>2742</v>
      </c>
      <c r="AJ6" s="467" t="s">
        <v>2879</v>
      </c>
      <c r="AK6" s="421" t="s">
        <v>2738</v>
      </c>
      <c r="AL6" s="421" t="s">
        <v>2739</v>
      </c>
      <c r="AM6" s="421" t="s">
        <v>2896</v>
      </c>
      <c r="AN6" s="421" t="s">
        <v>97</v>
      </c>
      <c r="AO6" s="421" t="s">
        <v>104</v>
      </c>
      <c r="AP6" s="421" t="s">
        <v>2746</v>
      </c>
      <c r="AQ6" s="421" t="s">
        <v>2470</v>
      </c>
      <c r="AR6" s="421" t="s">
        <v>2747</v>
      </c>
      <c r="AS6" s="421" t="s">
        <v>2748</v>
      </c>
      <c r="AT6" s="421" t="s">
        <v>2749</v>
      </c>
      <c r="AU6" s="421" t="s">
        <v>2750</v>
      </c>
      <c r="AV6" s="421" t="s">
        <v>302</v>
      </c>
      <c r="AW6" s="421" t="s">
        <v>304</v>
      </c>
      <c r="AX6" s="421" t="s">
        <v>2751</v>
      </c>
      <c r="AY6" s="421" t="s">
        <v>33</v>
      </c>
      <c r="AZ6" s="1139"/>
      <c r="BA6" s="489" t="s">
        <v>2589</v>
      </c>
      <c r="BB6" s="489" t="s">
        <v>2589</v>
      </c>
      <c r="BC6" s="489" t="s">
        <v>2589</v>
      </c>
      <c r="BD6" s="489" t="s">
        <v>2589</v>
      </c>
      <c r="BE6" s="418" t="s">
        <v>2596</v>
      </c>
      <c r="BF6" s="418" t="s">
        <v>2587</v>
      </c>
      <c r="BG6" s="418" t="s">
        <v>2590</v>
      </c>
      <c r="BH6" s="418" t="s">
        <v>2591</v>
      </c>
      <c r="BI6" s="418" t="s">
        <v>2592</v>
      </c>
      <c r="BJ6" s="418" t="s">
        <v>2593</v>
      </c>
      <c r="BK6" s="418" t="s">
        <v>2594</v>
      </c>
      <c r="BL6" s="418" t="s">
        <v>2595</v>
      </c>
      <c r="BM6" s="418" t="s">
        <v>2756</v>
      </c>
      <c r="BN6" s="418" t="s">
        <v>2597</v>
      </c>
      <c r="BO6" s="418" t="s">
        <v>2598</v>
      </c>
      <c r="BP6" s="418" t="s">
        <v>2599</v>
      </c>
      <c r="BQ6" s="418" t="s">
        <v>2600</v>
      </c>
      <c r="BR6" s="418" t="s">
        <v>2601</v>
      </c>
      <c r="BS6" s="418" t="s">
        <v>2602</v>
      </c>
      <c r="BT6" s="418" t="s">
        <v>2603</v>
      </c>
      <c r="BU6" s="418" t="s">
        <v>2604</v>
      </c>
      <c r="BV6" s="418" t="s">
        <v>2605</v>
      </c>
      <c r="BW6" s="418" t="s">
        <v>2606</v>
      </c>
      <c r="BX6" s="418" t="s">
        <v>2607</v>
      </c>
      <c r="BY6" s="418" t="s">
        <v>2588</v>
      </c>
      <c r="BZ6" s="418" t="s">
        <v>2757</v>
      </c>
      <c r="CA6" s="418" t="s">
        <v>2758</v>
      </c>
      <c r="CB6" s="418" t="s">
        <v>2589</v>
      </c>
      <c r="CC6" s="417" t="s">
        <v>2608</v>
      </c>
      <c r="CD6" s="417" t="s">
        <v>2609</v>
      </c>
      <c r="CE6" s="417" t="s">
        <v>247</v>
      </c>
      <c r="CF6" s="417" t="s">
        <v>2610</v>
      </c>
      <c r="CG6" s="418" t="s">
        <v>247</v>
      </c>
      <c r="CH6" s="418" t="s">
        <v>2610</v>
      </c>
      <c r="CI6" s="418" t="s">
        <v>2613</v>
      </c>
      <c r="CJ6" s="417" t="s">
        <v>2611</v>
      </c>
      <c r="CK6" s="417" t="s">
        <v>2610</v>
      </c>
      <c r="CL6" s="418" t="s">
        <v>2611</v>
      </c>
      <c r="CM6" s="418" t="s">
        <v>2610</v>
      </c>
      <c r="CN6" s="417" t="s">
        <v>2614</v>
      </c>
      <c r="CO6" s="417" t="s">
        <v>2610</v>
      </c>
      <c r="CP6" s="418" t="s">
        <v>2619</v>
      </c>
      <c r="CQ6" s="418" t="s">
        <v>2612</v>
      </c>
      <c r="CR6" s="418" t="s">
        <v>2610</v>
      </c>
      <c r="CS6" s="417" t="s">
        <v>2616</v>
      </c>
      <c r="CT6" s="417" t="s">
        <v>2615</v>
      </c>
      <c r="CU6" s="417" t="s">
        <v>2610</v>
      </c>
      <c r="CV6" s="416" t="s">
        <v>2628</v>
      </c>
      <c r="CW6" s="416" t="s">
        <v>2629</v>
      </c>
      <c r="CX6" s="416" t="s">
        <v>2630</v>
      </c>
      <c r="CY6" s="416" t="s">
        <v>2610</v>
      </c>
      <c r="CZ6" s="421" t="s">
        <v>2632</v>
      </c>
      <c r="DA6" s="421" t="s">
        <v>2609</v>
      </c>
      <c r="DB6" s="421" t="s">
        <v>2633</v>
      </c>
      <c r="DC6" s="421" t="s">
        <v>247</v>
      </c>
      <c r="DD6" s="421" t="s">
        <v>2610</v>
      </c>
      <c r="DE6" s="416" t="s">
        <v>2635</v>
      </c>
      <c r="DF6" s="416" t="s">
        <v>2636</v>
      </c>
      <c r="DG6" s="416" t="s">
        <v>2637</v>
      </c>
      <c r="DH6" s="416" t="s">
        <v>2638</v>
      </c>
      <c r="DI6" s="416" t="s">
        <v>2639</v>
      </c>
      <c r="DJ6" s="416" t="s">
        <v>2640</v>
      </c>
      <c r="DK6" s="416" t="s">
        <v>2641</v>
      </c>
      <c r="DL6" s="416" t="s">
        <v>2642</v>
      </c>
      <c r="DM6" s="416" t="s">
        <v>2643</v>
      </c>
      <c r="DN6" s="416" t="s">
        <v>2644</v>
      </c>
      <c r="DO6" s="416" t="s">
        <v>2645</v>
      </c>
      <c r="DP6" s="416" t="s">
        <v>2646</v>
      </c>
      <c r="DQ6" s="416" t="s">
        <v>2647</v>
      </c>
      <c r="DR6" s="416" t="s">
        <v>2648</v>
      </c>
      <c r="DS6" s="416" t="s">
        <v>2649</v>
      </c>
      <c r="DT6" s="421" t="s">
        <v>2610</v>
      </c>
      <c r="DU6" s="421" t="s">
        <v>2650</v>
      </c>
      <c r="DV6" s="416" t="s">
        <v>2652</v>
      </c>
      <c r="DW6" s="416" t="s">
        <v>2653</v>
      </c>
      <c r="DX6" s="416" t="s">
        <v>2654</v>
      </c>
      <c r="DY6" s="416" t="s">
        <v>2655</v>
      </c>
      <c r="DZ6" s="416" t="s">
        <v>2656</v>
      </c>
      <c r="EA6" s="416" t="s">
        <v>2657</v>
      </c>
      <c r="EB6" s="421" t="s">
        <v>2679</v>
      </c>
      <c r="EC6" s="421" t="s">
        <v>2680</v>
      </c>
      <c r="ED6" s="421" t="s">
        <v>2659</v>
      </c>
      <c r="EE6" s="421" t="s">
        <v>2660</v>
      </c>
      <c r="EF6" s="421" t="s">
        <v>2649</v>
      </c>
      <c r="EG6" s="416" t="s">
        <v>2662</v>
      </c>
      <c r="EH6" s="416" t="s">
        <v>2610</v>
      </c>
      <c r="EI6" s="421" t="s">
        <v>2663</v>
      </c>
      <c r="EJ6" s="421" t="s">
        <v>2664</v>
      </c>
      <c r="EK6" s="421" t="s">
        <v>2665</v>
      </c>
      <c r="EL6" s="421" t="s">
        <v>2666</v>
      </c>
      <c r="EM6" s="421" t="s">
        <v>2649</v>
      </c>
      <c r="EN6" s="416" t="s">
        <v>2668</v>
      </c>
      <c r="EO6" s="416" t="s">
        <v>2669</v>
      </c>
      <c r="EP6" s="416" t="s">
        <v>2671</v>
      </c>
      <c r="EQ6" s="416" t="s">
        <v>2663</v>
      </c>
      <c r="ER6" s="416" t="s">
        <v>2664</v>
      </c>
      <c r="ES6" s="416" t="s">
        <v>2670</v>
      </c>
      <c r="ET6" s="416" t="s">
        <v>2649</v>
      </c>
      <c r="EU6" s="421" t="s">
        <v>2673</v>
      </c>
      <c r="EV6" s="421" t="s">
        <v>2674</v>
      </c>
      <c r="EW6" s="421" t="s">
        <v>2675</v>
      </c>
      <c r="EX6" s="421" t="s">
        <v>2676</v>
      </c>
      <c r="EY6" s="421" t="s">
        <v>2677</v>
      </c>
      <c r="EZ6" s="421" t="s">
        <v>2678</v>
      </c>
      <c r="FA6" s="421" t="s">
        <v>2649</v>
      </c>
      <c r="FB6" s="422" t="s">
        <v>2684</v>
      </c>
      <c r="FC6" s="422" t="s">
        <v>2685</v>
      </c>
      <c r="FD6" s="422" t="s">
        <v>2686</v>
      </c>
      <c r="FE6" s="422" t="s">
        <v>2687</v>
      </c>
      <c r="FF6" s="422" t="s">
        <v>2610</v>
      </c>
      <c r="FG6" s="422" t="s">
        <v>2688</v>
      </c>
      <c r="FH6" s="422" t="s">
        <v>2689</v>
      </c>
      <c r="FI6" s="423" t="s">
        <v>2610</v>
      </c>
      <c r="FJ6" s="423" t="s">
        <v>2649</v>
      </c>
      <c r="FK6" s="422" t="s">
        <v>247</v>
      </c>
      <c r="FL6" s="422" t="s">
        <v>2610</v>
      </c>
      <c r="FM6" s="423" t="s">
        <v>2693</v>
      </c>
      <c r="FN6" s="423" t="s">
        <v>2694</v>
      </c>
      <c r="FO6" s="423" t="s">
        <v>2695</v>
      </c>
      <c r="FP6" s="423" t="s">
        <v>2649</v>
      </c>
      <c r="FQ6" s="422" t="s">
        <v>2609</v>
      </c>
      <c r="FR6" s="422" t="s">
        <v>2633</v>
      </c>
      <c r="FS6" s="422" t="s">
        <v>247</v>
      </c>
      <c r="FT6" s="422" t="s">
        <v>2610</v>
      </c>
      <c r="FU6" s="423" t="s">
        <v>2700</v>
      </c>
      <c r="FV6" s="423" t="s">
        <v>2699</v>
      </c>
      <c r="FW6" s="423" t="s">
        <v>247</v>
      </c>
      <c r="FX6" s="423" t="s">
        <v>2610</v>
      </c>
      <c r="FY6" s="422" t="s">
        <v>2702</v>
      </c>
      <c r="FZ6" s="422" t="s">
        <v>2703</v>
      </c>
      <c r="GA6" s="422" t="s">
        <v>2704</v>
      </c>
      <c r="GB6" s="422" t="s">
        <v>2705</v>
      </c>
      <c r="GC6" s="422" t="s">
        <v>2706</v>
      </c>
      <c r="GD6" s="422" t="s">
        <v>2707</v>
      </c>
      <c r="GE6" s="422" t="s">
        <v>2708</v>
      </c>
      <c r="GF6" s="422" t="s">
        <v>2709</v>
      </c>
      <c r="GG6" s="422" t="s">
        <v>2710</v>
      </c>
      <c r="GH6" s="422" t="s">
        <v>2711</v>
      </c>
      <c r="GI6" s="423" t="s">
        <v>247</v>
      </c>
      <c r="GJ6" s="423" t="s">
        <v>2610</v>
      </c>
      <c r="GK6" s="423" t="s">
        <v>2649</v>
      </c>
      <c r="GL6" s="424" t="s">
        <v>2716</v>
      </c>
      <c r="GM6" s="424" t="s">
        <v>2717</v>
      </c>
      <c r="GN6" s="425" t="s">
        <v>2719</v>
      </c>
      <c r="GO6" s="425" t="s">
        <v>2720</v>
      </c>
      <c r="GP6" s="425" t="s">
        <v>2610</v>
      </c>
      <c r="GQ6" s="424" t="s">
        <v>2722</v>
      </c>
      <c r="GR6" s="424" t="s">
        <v>2723</v>
      </c>
      <c r="GS6" s="424" t="s">
        <v>2733</v>
      </c>
      <c r="GT6" s="424" t="s">
        <v>2610</v>
      </c>
      <c r="GU6" s="424" t="s">
        <v>2724</v>
      </c>
      <c r="GV6" s="424" t="s">
        <v>2725</v>
      </c>
      <c r="GW6" s="424" t="s">
        <v>2649</v>
      </c>
      <c r="GX6" s="425" t="s">
        <v>247</v>
      </c>
      <c r="GY6" s="425" t="s">
        <v>2610</v>
      </c>
      <c r="GZ6" s="424" t="s">
        <v>2727</v>
      </c>
      <c r="HA6" s="424" t="s">
        <v>2610</v>
      </c>
      <c r="HB6" s="425" t="s">
        <v>247</v>
      </c>
      <c r="HC6" s="425" t="s">
        <v>2610</v>
      </c>
      <c r="HD6" s="424" t="s">
        <v>247</v>
      </c>
      <c r="HE6" s="424" t="s">
        <v>2610</v>
      </c>
      <c r="HF6" s="425" t="s">
        <v>2731</v>
      </c>
      <c r="HG6" s="425" t="s">
        <v>2649</v>
      </c>
      <c r="HH6" s="1154"/>
      <c r="HI6" s="1154"/>
      <c r="HJ6" s="416" t="s">
        <v>3157</v>
      </c>
      <c r="HK6" s="416" t="s">
        <v>3151</v>
      </c>
      <c r="HL6" s="416" t="s">
        <v>3152</v>
      </c>
      <c r="HM6" s="416" t="s">
        <v>3153</v>
      </c>
      <c r="HN6" s="416" t="s">
        <v>3154</v>
      </c>
      <c r="HO6" s="416" t="s">
        <v>3155</v>
      </c>
      <c r="HP6" s="416" t="s">
        <v>3156</v>
      </c>
      <c r="HQ6" s="467" t="s">
        <v>3198</v>
      </c>
      <c r="HR6" s="422" t="s">
        <v>2532</v>
      </c>
      <c r="HS6" s="422" t="s">
        <v>2493</v>
      </c>
      <c r="HT6" s="422" t="s">
        <v>2494</v>
      </c>
      <c r="HU6" s="422" t="s">
        <v>417</v>
      </c>
      <c r="HV6" s="423" t="s">
        <v>2960</v>
      </c>
      <c r="HW6" s="423" t="s">
        <v>3350</v>
      </c>
      <c r="HX6" s="423" t="s">
        <v>3351</v>
      </c>
      <c r="HY6" s="423" t="s">
        <v>417</v>
      </c>
      <c r="HZ6" s="416" t="s">
        <v>3352</v>
      </c>
      <c r="IA6" s="416" t="s">
        <v>3353</v>
      </c>
      <c r="IB6" s="416" t="s">
        <v>3354</v>
      </c>
      <c r="IC6" s="416" t="s">
        <v>412</v>
      </c>
      <c r="ID6" s="424" t="s">
        <v>2357</v>
      </c>
      <c r="IE6" s="424" t="s">
        <v>2321</v>
      </c>
      <c r="IF6" s="424" t="s">
        <v>2322</v>
      </c>
      <c r="IG6" s="424" t="s">
        <v>412</v>
      </c>
    </row>
    <row r="7" spans="1:262" x14ac:dyDescent="0.2">
      <c r="A7" s="426" t="str">
        <f>IF(ISBLANK(NOM_EXPLOITANT),"",NOM_EXPLOITANT)</f>
        <v/>
      </c>
      <c r="B7" s="486" t="str">
        <f>IF(ISBLANK(SIRET_EXPLOITATION),"",SIRET_EXPLOITATION)</f>
        <v/>
      </c>
      <c r="C7" s="429" t="str">
        <f>IF(ISBLANK(CVI_EXPLOITATION),"",CVI_EXPLOITATION)</f>
        <v/>
      </c>
      <c r="D7" s="412" t="str">
        <f>IF(ISBLANK(RAISOC_EXPLOITATION),"",RAISOC_EXPLOITATION)</f>
        <v/>
      </c>
      <c r="E7" s="487">
        <f>ANNEE_CREATION_EXPLOITATION</f>
        <v>0</v>
      </c>
      <c r="F7" s="412" t="str">
        <f>IF(ISBLANK(ADRESSE_EXPLOITATION_SIEGE),"",ADRESSE_EXPLOITATION_SIEGE)</f>
        <v/>
      </c>
      <c r="G7" s="412" t="str">
        <f>IF(ISBLANK(COMPLEMENT_ADRESSE_EXPLOITATION_SIEGE),"",COMPLEMENT_ADRESSE_EXPLOITATION_SIEGE)</f>
        <v/>
      </c>
      <c r="H7" s="412" t="str">
        <f>IF(ISBLANK(CODE_POSTAL_EXPLOITATION_SIEGE),"",CODE_POSTAL_EXPLOITATION_SIEGE)</f>
        <v/>
      </c>
      <c r="I7" s="412" t="str">
        <f>IF(ISBLANK(COMMUNE_EXPLOITATION_SIEGE),"",COMMUNE_EXPLOITATION_SIEGE)</f>
        <v/>
      </c>
      <c r="J7" s="429" t="str">
        <f>IF(ISBLANK(DEPARTEMENT_EXPLOITATION_SIEGE),"",DEPARTEMENT_EXPLOITATION_SIEGE)</f>
        <v/>
      </c>
      <c r="K7" s="412" t="str">
        <f>IF(ISBLANK(REGION_EXPLOITATION_SIEGE),"",REGION_EXPLOITATION_SIEGE)</f>
        <v/>
      </c>
      <c r="L7" s="412" t="str">
        <f>IF(ISBLANK(BASSIN_VITICOLE_UTILISE),"",BASSIN_VITICOLE_UTILISE)</f>
        <v/>
      </c>
      <c r="M7" s="412" t="str">
        <f>IF(ISBLANK(NUMERO_EXPLOITATION_SIEGE),"",NUMERO_EXPLOITATION_SIEGE)</f>
        <v/>
      </c>
      <c r="N7" s="412" t="str">
        <f>IF(ISBLANK(EMAIL_EXPLOITATION),"",EMAIL_EXPLOITATION)</f>
        <v/>
      </c>
      <c r="O7" s="412" t="str">
        <f>IF(ISBLANK(SITE_INTERNET_EXPLOITATION),"",SITE_INTERNET_EXPLOITATION)</f>
        <v/>
      </c>
      <c r="P7" s="412" t="str">
        <f>IF(ISBLANK(REF_ANNUAIRE),"",REF_ANNUAIRE)</f>
        <v/>
      </c>
      <c r="Q7" s="412" t="str">
        <f>IF(ISBLANK(STATUT_JURIDIQUE),"",STATUT_JURIDIQUE)</f>
        <v/>
      </c>
      <c r="R7" s="412" t="str">
        <f>IF(ISBLANK(V_ACTIVITE_PRINCIPALE),"",V_ACTIVITE_PRINCIPALE)</f>
        <v/>
      </c>
      <c r="S7" s="412" t="str">
        <f>IF(ISBLANK(V_ACTIVITE_SECOND),"",V_ACTIVITE_SECOND)</f>
        <v/>
      </c>
      <c r="T7" s="412" t="str">
        <f>IF(ISBLANK(V_AUTRE_ACTIVITE),"",V_AUTRE_ACTIVITE)</f>
        <v/>
      </c>
      <c r="U7" s="412" t="str">
        <f>IF(ISBLANK(A_ACTIVITE_PRINCIPALE),"",A_ACTIVITE_PRINCIPALE)</f>
        <v/>
      </c>
      <c r="V7" s="412" t="str">
        <f>IF(ISBLANK(A_ACTIVITE_SECOND),"",A_ACTIVITE_SECOND)</f>
        <v/>
      </c>
      <c r="W7" s="412" t="str">
        <f>IF(ISBLANK(A_AUTRE_ACTIVITE),"",A_AUTRE_ACTIVITE)</f>
        <v/>
      </c>
      <c r="X7" s="412" t="str">
        <f>IF(ISBLANK(OTEX),"",OTEX)</f>
        <v/>
      </c>
      <c r="Y7" s="412" t="str">
        <f>IF(ISBLANK(VENTE_DIRECTE),"",VENTE_DIRECTE)</f>
        <v/>
      </c>
      <c r="Z7" s="412" t="str">
        <f>IF(ISBLANK(Identification!C99),"",Identification!C99)</f>
        <v/>
      </c>
      <c r="AA7" s="412" t="str">
        <f>IF(ISBLANK(DEMARCHE_NIV2),"",DEMARCHE_NIV2)</f>
        <v/>
      </c>
      <c r="AB7" s="412" t="str">
        <f>IF(ISBLANK(AUTRE_DEMARCHE1),"",AUTRE_DEMARCHE1)</f>
        <v/>
      </c>
      <c r="AC7" s="412" t="str">
        <f>IF(ISBLANK(AUTRE_DEMARCHE2),"",AUTRE_DEMARCHE2)</f>
        <v/>
      </c>
      <c r="AD7" s="415" t="str">
        <f>IF(ISBLANK(AUTRE_DEMARCHE3),"",AUTRE_DEMARCHE3)</f>
        <v/>
      </c>
      <c r="AE7" s="426" t="str">
        <f>IF(ISBLANK(DATE_AUDIT),"",DATE_AUDIT)</f>
        <v/>
      </c>
      <c r="AF7" s="412" t="str">
        <f>IF(ISBLANK(NOM_AUDITEUR),"",NOM_AUDITEUR)</f>
        <v/>
      </c>
      <c r="AG7" s="412" t="str">
        <f>IF(ISBLANK(cTypeAudit),"",cTypeAudit)</f>
        <v/>
      </c>
      <c r="AH7" s="412" t="str">
        <f>IF(ISBLANK(CAMPAGNE_EVALUEE),"",CAMPAGNE_EVALUEE)</f>
        <v/>
      </c>
      <c r="AI7" s="412" t="str">
        <f>IF(ISBLANK(VERSION_REFERENTIEL),"",VERSION_REFERENTIEL)</f>
        <v>v4</v>
      </c>
      <c r="AJ7" s="427" t="str">
        <f>IF(ISBLANK(DUREE_AUDIT),"",DUREE_AUDIT)</f>
        <v/>
      </c>
      <c r="AK7" s="415" t="str">
        <f>IF(SURF_TOT_EXP_N=0,"",SURF_TOT_EXP_N)</f>
        <v/>
      </c>
      <c r="AL7" s="415" t="str">
        <f>IF(cSAU=0,"",cSAU)</f>
        <v/>
      </c>
      <c r="AM7" s="415" t="str">
        <f>IF(SNE_N=0,"",SNE_N)</f>
        <v/>
      </c>
      <c r="AN7" s="518" t="str">
        <f>IF(cSAU=0,"",Surfaces!O84)</f>
        <v/>
      </c>
      <c r="AO7" s="415" t="str">
        <f>IF(cSAU=0,"",Surfaces!O91)</f>
        <v/>
      </c>
      <c r="AP7" s="415" t="str">
        <f>IF(cSAU=0,"",Surfaces!O98)</f>
        <v/>
      </c>
      <c r="AQ7" s="415" t="str">
        <f>IF(cSAU=0,"",Surfaces!O106)</f>
        <v/>
      </c>
      <c r="AR7" s="415" t="str">
        <f>IF(cSAU=0,"",Surfaces!O112)</f>
        <v/>
      </c>
      <c r="AS7" s="415" t="str">
        <f>IF(cSAU=0,"",Surfaces!O123)</f>
        <v/>
      </c>
      <c r="AT7" s="415" t="str">
        <f>IF(cSAU=0,"",Surfaces!O130)</f>
        <v/>
      </c>
      <c r="AU7" s="415" t="str">
        <f>IF(cSAU=0,"",Surfaces!O138)</f>
        <v/>
      </c>
      <c r="AV7" s="415" t="str">
        <f>IF(cSAU=0,"",Surfaces!O142)</f>
        <v/>
      </c>
      <c r="AW7" s="415" t="str">
        <f>IF(cSAU=0,"",Surfaces!O160)</f>
        <v/>
      </c>
      <c r="AX7" s="415" t="str">
        <f>IF(cSAU=0,"",Surfaces!O162)</f>
        <v/>
      </c>
      <c r="AY7" s="415" t="str">
        <f>IF(cSAU=0,"",Surfaces!O198)</f>
        <v/>
      </c>
      <c r="AZ7" s="419" t="str">
        <f>IF(ISBLANK(RESULTAT_AUDIT),"",RESULTAT_AUDIT)</f>
        <v>Résultats non conformes au référentiel</v>
      </c>
      <c r="BA7" s="419" t="str">
        <f>IF(NOTE_GLOBALE_BIODIVERSITE=0,"",NOTE_GLOBALE_BIODIVERSITE)</f>
        <v/>
      </c>
      <c r="BB7" s="419" t="str">
        <f>IF(NOTE_GLOBALE_PHYTO=0,"",NOTE_GLOBALE_PHYTO)</f>
        <v/>
      </c>
      <c r="BC7" s="419" t="str">
        <f>IF(NOTE_GLOBALE_FERTILISATION=0,"",NOTE_GLOBALE_FERTILISATION)</f>
        <v/>
      </c>
      <c r="BD7" s="419" t="str">
        <f>IF(NOTE_GLOBALE_IRRIGATION=0,"",NOTE_GLOBALE_IRRIGATION)</f>
        <v/>
      </c>
      <c r="BE7" s="412" t="str">
        <f>IF(ISBLANK(Biodiversité!W41),"",Biodiversité!W41)</f>
        <v>NON</v>
      </c>
      <c r="BF7" s="414" t="str">
        <f>IF(Biodiversité!T48=0,"",Biodiversité!T48)</f>
        <v/>
      </c>
      <c r="BG7" s="415" t="str">
        <f>IF(Biodiversité!Y17=0,"",Biodiversité!Y17)</f>
        <v/>
      </c>
      <c r="BH7" s="415" t="str">
        <f>IF(Biodiversité!Y18=0,"",Biodiversité!Y18)</f>
        <v/>
      </c>
      <c r="BI7" s="415" t="str">
        <f>IF(Biodiversité!Y19=0,"",Biodiversité!Y19)</f>
        <v/>
      </c>
      <c r="BJ7" s="415" t="str">
        <f>IF(Biodiversité!Y20=0,"",Biodiversité!Y20)</f>
        <v/>
      </c>
      <c r="BK7" s="415" t="str">
        <f>IF(Biodiversité!Y21=0,"",Biodiversité!Y21)</f>
        <v/>
      </c>
      <c r="BL7" s="415" t="str">
        <f>IF(Biodiversité!Y22=0,"",Biodiversité!Y22)</f>
        <v/>
      </c>
      <c r="BM7" s="415" t="str">
        <f>IF(Biodiversité!Y23=0,"",Biodiversité!Y23)</f>
        <v/>
      </c>
      <c r="BN7" s="415" t="str">
        <f>IF(Biodiversité!Y25=0,"",Biodiversité!Y25)</f>
        <v/>
      </c>
      <c r="BO7" s="415" t="str">
        <f>IF(Biodiversité!Y26=0,"",Biodiversité!Y26)</f>
        <v/>
      </c>
      <c r="BP7" s="415" t="str">
        <f>IF(Biodiversité!Y27=0,"",Biodiversité!Y27)</f>
        <v/>
      </c>
      <c r="BQ7" s="415" t="str">
        <f>IF(Biodiversité!Y28=0,"",Biodiversité!Y28)</f>
        <v/>
      </c>
      <c r="BR7" s="415" t="str">
        <f>IF(Biodiversité!Y29=0,"",Biodiversité!Y29)</f>
        <v/>
      </c>
      <c r="BS7" s="415" t="str">
        <f>IF(Biodiversité!Y30=0,"",Biodiversité!Y30)</f>
        <v/>
      </c>
      <c r="BT7" s="415" t="str">
        <f>IF(Biodiversité!Y31=0,"",Biodiversité!Y31)</f>
        <v/>
      </c>
      <c r="BU7" s="415" t="str">
        <f>IF(Biodiversité!Y32=0,"",Biodiversité!Y32)</f>
        <v/>
      </c>
      <c r="BV7" s="415" t="str">
        <f>IF(Biodiversité!Y33=0,"",Biodiversité!Y33)</f>
        <v/>
      </c>
      <c r="BW7" s="415" t="str">
        <f>IF(Biodiversité!Y34=0,"",Biodiversité!Y34)</f>
        <v/>
      </c>
      <c r="BX7" s="415" t="str">
        <f>IF(Biodiversité!Y35=0,"",Biodiversité!Y35)</f>
        <v/>
      </c>
      <c r="BY7" s="414" t="str">
        <f>IF(Biodiversité!T53=0,"",Biodiversité!T53)</f>
        <v/>
      </c>
      <c r="BZ7" s="415" t="str">
        <f>IF(Biodiversité!T56=0,"",Biodiversité!T56)</f>
        <v/>
      </c>
      <c r="CA7" s="412" t="str">
        <f>IF(ISBLANK(Biodiversité!T60),"",Biodiversité!T60)</f>
        <v/>
      </c>
      <c r="CB7" s="415" t="str">
        <f>IF(Biodiversité!W58=0,"",Biodiversité!W58)</f>
        <v/>
      </c>
      <c r="CC7" s="415" t="str">
        <f>IF(ISBLANK(Biodiversité!P82),"",Biodiversité!P82)</f>
        <v/>
      </c>
      <c r="CD7" s="415" t="str">
        <f>IF(Biodiversité!P83=0,"",Biodiversité!P83)</f>
        <v/>
      </c>
      <c r="CE7" s="414" t="str">
        <f>IF(Biodiversité!P85=0,"",Biodiversité!P85)</f>
        <v/>
      </c>
      <c r="CF7" s="415" t="str">
        <f>IF(Biodiversité!S85=0,"",Biodiversité!S85)</f>
        <v/>
      </c>
      <c r="CG7" s="414" t="str">
        <f>IF(Biodiversité!N112=0,"",Biodiversité!N112)</f>
        <v/>
      </c>
      <c r="CH7" s="415" t="str">
        <f>IF(Biodiversité!Q112=0,"",Biodiversité!Q112)</f>
        <v/>
      </c>
      <c r="CI7" s="415" t="str">
        <f>IF(Biodiversité!N109=0,"",Biodiversité!N109)</f>
        <v/>
      </c>
      <c r="CJ7" s="412" t="str">
        <f>IF(Biodiversité!L152=0,"",Biodiversité!L152)</f>
        <v/>
      </c>
      <c r="CK7" s="415" t="str">
        <f>IF(Biodiversité!O154=0,"",Biodiversité!O154)</f>
        <v/>
      </c>
      <c r="CL7" s="412" t="str">
        <f>IF(Biodiversité!I180=0,"",Biodiversité!I180)</f>
        <v/>
      </c>
      <c r="CM7" s="415" t="str">
        <f>IF(Biodiversité!L180=0,"",Biodiversité!L180)</f>
        <v/>
      </c>
      <c r="CN7" s="412" t="str">
        <f>IF(Biodiversité!I199=0,"",Biodiversité!I199)</f>
        <v/>
      </c>
      <c r="CO7" s="415" t="str">
        <f>IF(Biodiversité!L199=0,"",Biodiversité!L199)</f>
        <v/>
      </c>
      <c r="CP7" s="412" t="str">
        <f>IF(Biodiversité!I215=0,"",Biodiversité!I215)</f>
        <v/>
      </c>
      <c r="CQ7" s="412" t="str">
        <f>IF(Biodiversité!I216=0,"",Biodiversité!I216)</f>
        <v/>
      </c>
      <c r="CR7" s="415" t="str">
        <f>IF(Biodiversité!L231=0,"",Biodiversité!L231)</f>
        <v/>
      </c>
      <c r="CS7" s="412" t="str">
        <f>IF(ISBLANK(Biodiversité!O242),"",Biodiversité!O242)</f>
        <v/>
      </c>
      <c r="CT7" s="412" t="str">
        <f>IF(ISBLANK(Biodiversité!O243),"",Biodiversité!O243)</f>
        <v/>
      </c>
      <c r="CU7" s="419" t="str">
        <f>IF(Biodiversité!O247=0,"",Biodiversité!O247)</f>
        <v/>
      </c>
      <c r="CV7" s="412" t="str">
        <f>IF(ISBLANK(Phyto!L11),"",Phyto!L11)</f>
        <v/>
      </c>
      <c r="CW7" s="412" t="str">
        <f>IF(ISBLANK(Phyto!M22),"",Phyto!M22)</f>
        <v/>
      </c>
      <c r="CX7" s="412" t="str">
        <f>IF(ISBLANK(Phyto!M23),"",Phyto!M23)</f>
        <v/>
      </c>
      <c r="CY7" s="419" t="str">
        <f>IF(Phyto!P25=0,"",Phyto!P25)</f>
        <v/>
      </c>
      <c r="CZ7" s="419" t="str">
        <f>IF(ISBLANK(Phyto!M44),"",Phyto!M44)</f>
        <v/>
      </c>
      <c r="DA7" s="419" t="str">
        <f>IF(ISBLANK(Phyto!M45),"",Phyto!M45)</f>
        <v/>
      </c>
      <c r="DB7" s="419" t="str">
        <f>IF(ISBLANK(Phyto!M46),"",Phyto!M46)</f>
        <v/>
      </c>
      <c r="DC7" s="414" t="str">
        <f>IF(Phyto!M55=0,"",Phyto!M55)</f>
        <v/>
      </c>
      <c r="DD7" s="419" t="str">
        <f>IF(Phyto!P55=0,"",Phyto!P55)</f>
        <v/>
      </c>
      <c r="DE7" s="430" t="str">
        <f>IF(ISBLANK(Phyto!J99),"",Phyto!J99)</f>
        <v/>
      </c>
      <c r="DF7" s="430" t="str">
        <f>IF(ISBLANK(Phyto!J100),"",Phyto!J100)</f>
        <v/>
      </c>
      <c r="DG7" s="430" t="str">
        <f>IF(ISBLANK(Phyto!L99),"",Phyto!L99)</f>
        <v/>
      </c>
      <c r="DH7" s="430" t="str">
        <f>IF(ISBLANK(Phyto!L100),"",Phyto!L100)</f>
        <v/>
      </c>
      <c r="DI7" s="430" t="str">
        <f>IF(ISBLANK(Phyto!N99),"",Phyto!N99)</f>
        <v/>
      </c>
      <c r="DJ7" s="430" t="str">
        <f>IF(ISBLANK(Phyto!N100),"",Phyto!N100)</f>
        <v/>
      </c>
      <c r="DK7" s="430" t="str">
        <f>IF(ISBLANK(Phyto!P99),"",Phyto!P99)</f>
        <v/>
      </c>
      <c r="DL7" s="430" t="str">
        <f>IF(ISBLANK(Phyto!P100),"",Phyto!P100)</f>
        <v/>
      </c>
      <c r="DM7" s="419" t="str">
        <f>IF(ISBLANK(Phyto!H109),"",Phyto!H109)</f>
        <v/>
      </c>
      <c r="DN7" s="419" t="str">
        <f>IF(ISBLANK(Phyto!H110),"",Phyto!H110)</f>
        <v/>
      </c>
      <c r="DO7" s="419" t="str">
        <f>IF(ISBLANK(Phyto!M109),"",Phyto!M109)</f>
        <v/>
      </c>
      <c r="DP7" s="419" t="str">
        <f>IF(ISBLANK(Phyto!M110),"",Phyto!M110)</f>
        <v/>
      </c>
      <c r="DQ7" s="419" t="str">
        <f>IF(ISBLANK(Phyto!R109),"",Phyto!R109)</f>
        <v/>
      </c>
      <c r="DR7" s="419" t="str">
        <f>IF(ISBLANK(Phyto!R110),"",Phyto!R110)</f>
        <v/>
      </c>
      <c r="DS7" s="419" t="str">
        <f>IF(SUM(Phyto!K119:L121)=0,"",Phyto!M124)</f>
        <v/>
      </c>
      <c r="DT7" s="415" t="str">
        <f>IF(Phyto!Q158=0,"",Phyto!S157)</f>
        <v/>
      </c>
      <c r="DU7" s="415" t="str">
        <f>IF(Phyto!Q158=0,"",Phyto!S160)</f>
        <v/>
      </c>
      <c r="DV7" s="412" t="str">
        <f>IF(ISBLANK(Phyto!R175),"",Phyto!R175)</f>
        <v/>
      </c>
      <c r="DW7" s="412" t="str">
        <f>IF(ISBLANK(Phyto!R177),"",Phyto!R177)</f>
        <v/>
      </c>
      <c r="DX7" s="414" t="str">
        <f>IF(Phyto!R194=0,"",Phyto!R194)</f>
        <v/>
      </c>
      <c r="DY7" s="415" t="str">
        <f>IF(Phyto!R197=0,"",Phyto!R197)</f>
        <v/>
      </c>
      <c r="DZ7" s="415" t="str">
        <f>IF(Phyto!R198=0,"",Phyto!R198)</f>
        <v/>
      </c>
      <c r="EA7" s="415" t="str">
        <f>IF(Phyto!R199=0,"",Phyto!R199)</f>
        <v/>
      </c>
      <c r="EB7" s="414" t="str">
        <f>IF(Phyto!N237=0,"",Phyto!N239)</f>
        <v/>
      </c>
      <c r="EC7" s="414" t="str">
        <f>IF(Phyto!N238=0,"",Phyto!N240)</f>
        <v/>
      </c>
      <c r="ED7" s="419" t="str">
        <f>IF(Phyto!N237=0,"",Phyto!P239)</f>
        <v/>
      </c>
      <c r="EE7" s="419" t="str">
        <f>IF(Phyto!N238=0,"",Phyto!P240)</f>
        <v/>
      </c>
      <c r="EF7" s="419" t="str">
        <f>IF(Phyto!N241=0,"",Phyto!P242)</f>
        <v/>
      </c>
      <c r="EG7" s="412" t="str">
        <f>IF(ISBLANK(Phyto!J253),"",Phyto!J253)</f>
        <v/>
      </c>
      <c r="EH7" s="419" t="str">
        <f>IF(Phyto!D266=0,"",Phyto!D266)</f>
        <v/>
      </c>
      <c r="EI7" s="419" t="str">
        <f>IF(Phyto!J294=0,"",Phyto!L275)</f>
        <v/>
      </c>
      <c r="EJ7" s="419" t="str">
        <f>IF(Phyto!J295=0,"",Phyto!L280)</f>
        <v/>
      </c>
      <c r="EK7" s="419" t="str">
        <f>IF(Phyto!J296=0,"",Phyto!L285)</f>
        <v/>
      </c>
      <c r="EL7" s="419" t="str">
        <f>IF(Phyto!J297=0,"",Phyto!L290)</f>
        <v/>
      </c>
      <c r="EM7" s="419" t="str">
        <f>IF(SUM(Phyto!J294:K297)=0,"",Phyto!L299)</f>
        <v/>
      </c>
      <c r="EN7" s="414" t="str">
        <f>IF(Phyto!J325=0,"",Phyto!J328)</f>
        <v/>
      </c>
      <c r="EO7" s="414" t="str">
        <f>IF(Phyto!J326=0,"",Phyto!J329)</f>
        <v/>
      </c>
      <c r="EP7" s="414" t="str">
        <f>IF(Phyto!J327=0,"",Phyto!J330)</f>
        <v/>
      </c>
      <c r="EQ7" s="419" t="str">
        <f>IF(Phyto!J325=0,"",Phyto!L328)</f>
        <v/>
      </c>
      <c r="ER7" s="419" t="str">
        <f>IF(Phyto!J326=0,"",Phyto!L329)</f>
        <v/>
      </c>
      <c r="ES7" s="419" t="str">
        <f>IF(Phyto!J327=0,"",Phyto!L330)</f>
        <v/>
      </c>
      <c r="ET7" s="419" t="str">
        <f>IF(SUM(Phyto!J325:K327)=0,"",Phyto!L332)</f>
        <v/>
      </c>
      <c r="EU7" s="414" t="str">
        <f>IF(Phyto!L353=0,"",Phyto!L363)</f>
        <v/>
      </c>
      <c r="EV7" s="414" t="str">
        <f>IF(Phyto!L358=0,"",Phyto!L364)</f>
        <v/>
      </c>
      <c r="EW7" s="414" t="str">
        <f>IF(Phyto!L358=0,"",Phyto!L365)</f>
        <v/>
      </c>
      <c r="EX7" s="419" t="str">
        <f>IF(Phyto!L353=0,"",Phyto!N363)</f>
        <v/>
      </c>
      <c r="EY7" s="419" t="str">
        <f>IF(Phyto!L358=0,"",Phyto!N364)</f>
        <v/>
      </c>
      <c r="EZ7" s="419" t="str">
        <f>IF(Phyto!L358=0,"",Phyto!N365)</f>
        <v/>
      </c>
      <c r="FA7" s="419" t="str">
        <f>IF(SUM(Phyto!L353,Phyto!L358)=0,"",Phyto!N366)</f>
        <v/>
      </c>
      <c r="FB7" s="412" t="str">
        <f>IF(ISBLANK(Fertilisation!M52),"",Fertilisation!M52)</f>
        <v/>
      </c>
      <c r="FC7" s="412" t="str">
        <f>IF(ISBLANK(Fertilisation!M51),"",Fertilisation!M51)</f>
        <v/>
      </c>
      <c r="FD7" s="412" t="str">
        <f>IF(ISBLANK(Fertilisation!M54),"",Fertilisation!M54)</f>
        <v/>
      </c>
      <c r="FE7" s="415" t="str">
        <f>IF(ISBLANK(Fertilisation!M55),"",Fertilisation!M55)</f>
        <v/>
      </c>
      <c r="FF7" s="419" t="str">
        <f>IF(ISBLANK(Fertilisation!M54),"",Fertilisation!P55)</f>
        <v/>
      </c>
      <c r="FG7" s="414" t="str">
        <f>IF(ISBLANK(Fertilisation!M58),"",Fertilisation!M60)</f>
        <v/>
      </c>
      <c r="FH7" s="419" t="str">
        <f>IF(ISBLANK(Fertilisation!M54),"",Fertilisation!P64)</f>
        <v/>
      </c>
      <c r="FI7" s="419" t="str">
        <f>IF(Fertilisation!Q98=0,"",Fertilisation!S97)</f>
        <v/>
      </c>
      <c r="FJ7" s="419" t="str">
        <f>IF(Fertilisation!Q98=0,"",Fertilisation!S100)</f>
        <v/>
      </c>
      <c r="FK7" s="414" t="str">
        <f>IF(Fertilisation!N121=0,"",Fertilisation!N122)</f>
        <v/>
      </c>
      <c r="FL7" s="419" t="str">
        <f>IF(Fertilisation!N121=0,"",Fertilisation!P122)</f>
        <v/>
      </c>
      <c r="FM7" s="419" t="str">
        <f>IF(Fertilisation!N161=0,"",Fertilisation!P173)</f>
        <v/>
      </c>
      <c r="FN7" s="419" t="str">
        <f>IF(Fertilisation!N162=0,"",Fertilisation!P179)</f>
        <v/>
      </c>
      <c r="FO7" s="419" t="str">
        <f>IF(Fertilisation!N163=0,"",Fertilisation!P187)</f>
        <v/>
      </c>
      <c r="FP7" s="419" t="str">
        <f>IF(Fertilisation!P191=0,"",Fertilisation!P191)</f>
        <v/>
      </c>
      <c r="FQ7" s="415" t="str">
        <f>IF(Fertilisation!J207=0,"",Fertilisation!J207)</f>
        <v/>
      </c>
      <c r="FR7" s="415" t="str">
        <f>IF(ISBLANK(Fertilisation!J208),"",Fertilisation!J208)</f>
        <v/>
      </c>
      <c r="FS7" s="414" t="str">
        <f>IF(Fertilisation!J215=0,"",Fertilisation!J215)</f>
        <v/>
      </c>
      <c r="FT7" s="419" t="str">
        <f>IF(Fertilisation!L215=0,"",Fertilisation!L215)</f>
        <v/>
      </c>
      <c r="FU7" s="415" t="str">
        <f>IF(Fertilisation!N241=0,"",Fertilisation!N241)</f>
        <v/>
      </c>
      <c r="FV7" s="419" t="str">
        <f>IF(SUM(Phyto!J325:K327)=0,"",Fertilisation!N238)</f>
        <v/>
      </c>
      <c r="FW7" s="414" t="str">
        <f>IF(Fertilisation!N243=0,"",Fertilisation!N243)</f>
        <v/>
      </c>
      <c r="FX7" s="419" t="str">
        <f>IF(Fertilisation!P243=0,"",Fertilisation!P243)</f>
        <v/>
      </c>
      <c r="FY7" s="412" t="str">
        <f>IF(Fertilisation!O262&gt;0,IF(ISBLANK(Fertilisation!O266),"",Fertilisation!O266),"")</f>
        <v/>
      </c>
      <c r="FZ7" s="419" t="str">
        <f>IF(Fertilisation!O262&gt;0,IF(ISBLANK(Fertilisation!O273),"",Fertilisation!O273),"")</f>
        <v/>
      </c>
      <c r="GA7" s="412" t="str">
        <f>IF(Fertilisation!O262&gt;0,IF(ISBLANK(Fertilisation!O274),"",Fertilisation!O274),"")</f>
        <v/>
      </c>
      <c r="GB7" s="419" t="str">
        <f>IF(Fertilisation!O262&gt;0,Fertilisation!Q289,"")</f>
        <v/>
      </c>
      <c r="GC7" s="419" t="str">
        <f>IF(Fertilisation!O262&gt;0,Fertilisation!Q295,"")</f>
        <v/>
      </c>
      <c r="GD7" s="412" t="str">
        <f>IF(ISBLANK(Fertilisation!O262),"",IF(Fertilisation!O262&lt;100,IF(ISBLANK(Fertilisation!O269),"",Fertilisation!O269),""))</f>
        <v/>
      </c>
      <c r="GE7" s="419" t="str">
        <f>IF(ISBLANK(Fertilisation!O262),"",IF(Fertilisation!O262&lt;100,IF(ISBLANK(Fertilisation!O277),"",Fertilisation!O277),""))</f>
        <v/>
      </c>
      <c r="GF7" s="412" t="str">
        <f>IF(ISBLANK(Fertilisation!O262),"",IF(Fertilisation!O262&lt;100,IF(ISBLANK(Fertilisation!O278),"",Fertilisation!O278),""))</f>
        <v/>
      </c>
      <c r="GG7" s="419" t="str">
        <f>IF(ISBLANK(Fertilisation!O262),"",IF(Fertilisation!O262&lt;100,Fertilisation!Q290,""))</f>
        <v/>
      </c>
      <c r="GH7" s="419" t="str">
        <f>IF(ISBLANK(Fertilisation!O262),"",IF(Fertilisation!O262&lt;100,Fertilisation!Q296,""))</f>
        <v/>
      </c>
      <c r="GI7" s="414" t="str">
        <f>IF(Fertilisation!O322=0,"",Fertilisation!O323)</f>
        <v/>
      </c>
      <c r="GJ7" s="419" t="str">
        <f>IF(Fertilisation!O322=0,"",Fertilisation!Q324)</f>
        <v/>
      </c>
      <c r="GK7" s="419" t="str">
        <f>IF(Fertilisation!O322=0,"",Fertilisation!Q325)</f>
        <v/>
      </c>
      <c r="GL7" s="412" t="str">
        <f>IF(ISBLANK(cIrriguante),"",cIrriguante)</f>
        <v/>
      </c>
      <c r="GM7" s="414" t="str">
        <f>IF(ISBLANK(Irrigation!K14),"",Irrigation!K14)</f>
        <v/>
      </c>
      <c r="GN7" s="412" t="str">
        <f>IF(ISBLANK(Irrigation!K24),"",Irrigation!K24)</f>
        <v/>
      </c>
      <c r="GO7" s="414" t="str">
        <f>IF(cIrriguante="Oui",Irrigation!K51,"")</f>
        <v/>
      </c>
      <c r="GP7" s="419" t="str">
        <f>IF(cIrriguante="Oui",Irrigation!M51,"")</f>
        <v/>
      </c>
      <c r="GQ7" s="412" t="str">
        <f>IF(cIrriguante="Oui",Irrigation!M76,"")</f>
        <v/>
      </c>
      <c r="GR7" s="412" t="str">
        <f>IF(cIrriguante="Oui",Irrigation!M77,"")</f>
        <v/>
      </c>
      <c r="GS7" s="412" t="str">
        <f>IF(cIrriguante="Oui",Irrigation!M78,"")</f>
        <v/>
      </c>
      <c r="GT7" s="419" t="str">
        <f>IF(cIrriguante="Oui",Irrigation!O80,"")</f>
        <v/>
      </c>
      <c r="GU7" s="414" t="str">
        <f>IF(cIrriguante="Oui",Irrigation!M85,"")</f>
        <v/>
      </c>
      <c r="GV7" s="419" t="str">
        <f>IF(cIrriguante="Oui",Irrigation!O87,"")</f>
        <v/>
      </c>
      <c r="GW7" s="419" t="str">
        <f>IF(cIrriguante="Oui",Irrigation!O92,"")</f>
        <v/>
      </c>
      <c r="GX7" s="414" t="str">
        <f>IF(cIrriguante="Oui",Irrigation!J124,"")</f>
        <v/>
      </c>
      <c r="GY7" s="419" t="str">
        <f>IF(cIrriguante="Oui",Irrigation!L124,"")</f>
        <v/>
      </c>
      <c r="GZ7" s="412" t="str">
        <f>IF(cIrriguante="Oui",Irrigation!J133,"")</f>
        <v/>
      </c>
      <c r="HA7" s="419" t="str">
        <f>IF(cIrriguante="Oui",Irrigation!D139,"")</f>
        <v/>
      </c>
      <c r="HB7" s="414" t="str">
        <f>IF(cIrriguante="Oui",Irrigation!L167,"")</f>
        <v/>
      </c>
      <c r="HC7" s="419" t="str">
        <f>IF(cIrriguante="Oui",Irrigation!N167,"")</f>
        <v/>
      </c>
      <c r="HD7" s="414" t="str">
        <f>IF(cIrriguante="Oui",Irrigation!K190,"")</f>
        <v/>
      </c>
      <c r="HE7" s="419" t="str">
        <f>IF(cIrriguante="Oui",Irrigation!M190,"")</f>
        <v/>
      </c>
      <c r="HF7" s="412" t="str">
        <f>IF(cIrriguante="Oui",Irrigation!N237,"")</f>
        <v/>
      </c>
      <c r="HG7" s="419" t="str">
        <f>IF(cIrriguante="Oui",Irrigation!P242,"")</f>
        <v/>
      </c>
      <c r="HI7" s="412" t="str">
        <f>Accueil!I6&amp;" "&amp;Accueil!I7</f>
        <v>Version 1.15 du 19/5/2026</v>
      </c>
      <c r="HJ7" s="412" t="str">
        <f>IF(ISBLANK(NB_CAMPAGNE_IFT),"",NB_CAMPAGNE_IFT)</f>
        <v/>
      </c>
      <c r="HK7" s="412" t="str">
        <f>IF(ISBLANK(GC_IFT_REALISE_HERBICIDES),"",GC_IFT_REALISE_HERBICIDES)</f>
        <v/>
      </c>
      <c r="HL7" s="412" t="str">
        <f>IF(ISBLANK(GC_IFT_REALISE_HORS_HERBICIDES),"",GC_IFT_REALISE_HORS_HERBICIDES)</f>
        <v/>
      </c>
      <c r="HM7" s="412" t="str">
        <f>IF(ISBLANK(VIGNE_IFT_REALISE_HERBICIDES),"",VIGNE_IFT_REALISE_HERBICIDES)</f>
        <v/>
      </c>
      <c r="HN7" s="412" t="str">
        <f>IF(ISBLANK(VIGNE_IFT_REALISE_HORS_HERBICIDES),"",VIGNE_IFT_REALISE_HORS_HERBICIDES)</f>
        <v/>
      </c>
      <c r="HO7" s="412" t="str">
        <f>IF(ISBLANK(ARBO_IFT_REALISE_HERBICIDES),"",ARBO_IFT_REALISE_HERBICIDES)</f>
        <v/>
      </c>
      <c r="HP7" s="412" t="str">
        <f>IF(ISBLANK(ARBO_IFT_REALISE_HORS_HERBICIDES),"",ARBO_IFT_REALISE_HORS_HERBICIDES)</f>
        <v/>
      </c>
      <c r="HQ7" s="412" t="str">
        <f>IF(ISBLANK(LOCALISATION_AUDIT_INTERNE),"",LOCALISATION_AUDIT_INTERNE)</f>
        <v/>
      </c>
      <c r="HR7" s="567" t="str">
        <f>IF(POURCENTAGE_SAU_VIGNES=0,"",POURCENTAGE_SAU_VIGNES)</f>
        <v/>
      </c>
      <c r="HS7" s="567" t="str">
        <f>IF(POURCENTAGE_SAU_ARBO=0,"",POURCENTAGE_SAU_ARBO)</f>
        <v/>
      </c>
      <c r="HT7" s="567" t="str">
        <f>IF(POURCENTAGE_SAU_HORTI=0,"",POURCENTAGE_SAU_HORTI)</f>
        <v/>
      </c>
      <c r="HU7" s="567" t="str">
        <f>IF(RESULTAT_COUVERTURE_SOLS=0,"",RESULTAT_COUVERTURE_SOLS)</f>
        <v/>
      </c>
      <c r="HV7" s="567" t="str">
        <f>IF(Fertilisation!L349=0,"",Fertilisation!L349)</f>
        <v/>
      </c>
      <c r="HW7" s="412" t="str">
        <f>IF(SURF_HS_RECYCL_TRAIT_TOTAL=0,"",SURF_HS_RECYCL_TRAIT_TOTAL)</f>
        <v/>
      </c>
      <c r="HX7" s="412" t="str">
        <f>IF(SURF_HS_RECYCL_TRAIT_PARTIEL=0,"",SURF_HS_RECYCL_TRAIT_PARTIEL)</f>
        <v/>
      </c>
      <c r="HY7" s="412" t="str">
        <f>IF(RESULTAT_RECYCLAGE_TRAITEMENT_EAUX_IRRIG=0,"",RESULTAT_RECYCLAGE_TRAITEMENT_EAUX_IRRIG)</f>
        <v/>
      </c>
      <c r="HZ7" s="419" t="str">
        <f>IF(GC_RESULTAT=0,"",GC_RESULTAT)</f>
        <v/>
      </c>
      <c r="IA7" s="419" t="str">
        <f>IF(VIGNE_RESULTAT=0,"",VIGNE_RESULTAT)</f>
        <v/>
      </c>
      <c r="IB7" s="419" t="str">
        <f>IF(ARBO_RESULTAT=0,"",ARBO_RESULTAT)</f>
        <v/>
      </c>
      <c r="IC7" s="419" t="str">
        <f>IF(RESULTAT_SURVEILLANCE=0,"",RESULTAT_SURVEILLANCE)</f>
        <v/>
      </c>
      <c r="ID7" s="412" t="str">
        <f>IF(Irrigation!L215=0,"",Irrigation!L215)</f>
        <v/>
      </c>
      <c r="IE7" s="412" t="str">
        <f>IF(Irrigation!L216=0,"",Irrigation!L216)</f>
        <v/>
      </c>
      <c r="IF7" s="412" t="str">
        <f>IF(Irrigation!L217=0,"",Irrigation!L217)</f>
        <v/>
      </c>
      <c r="IG7" s="412" t="str">
        <f>IF(POINTS_RECYCLAGE_TRAITEMENT=0,"",POINTS_RECYCLAGE_TRAITEMENT)</f>
        <v/>
      </c>
    </row>
  </sheetData>
  <sheetProtection algorithmName="SHA-512" hashValue="L9Bg2LxYa2h9VNpmxoHepKUthRw+t2uj48eoGiohdLZ8+xKi1xqjJaGAhrN10MzMZhVdKfBTOawitU4iS/vwgw==" saltValue="D/owKuqq6xYGsfRFw2mmZw==" spinCount="100000" sheet="1" objects="1" scenarios="1"/>
  <mergeCells count="59">
    <mergeCell ref="ID4:IG4"/>
    <mergeCell ref="ID5:IG5"/>
    <mergeCell ref="HJ5:HP5"/>
    <mergeCell ref="HJ4:HP4"/>
    <mergeCell ref="HB5:HC5"/>
    <mergeCell ref="HD5:HE5"/>
    <mergeCell ref="HI4:HI6"/>
    <mergeCell ref="HH4:HH6"/>
    <mergeCell ref="HF5:HG5"/>
    <mergeCell ref="GL4:HG4"/>
    <mergeCell ref="GZ5:HA5"/>
    <mergeCell ref="HR5:HU5"/>
    <mergeCell ref="HV5:HY5"/>
    <mergeCell ref="HR4:HY4"/>
    <mergeCell ref="HZ5:IB5"/>
    <mergeCell ref="HZ4:IB4"/>
    <mergeCell ref="GI5:GK5"/>
    <mergeCell ref="GL5:GM5"/>
    <mergeCell ref="GN5:GP5"/>
    <mergeCell ref="GQ5:GW5"/>
    <mergeCell ref="GX5:GY5"/>
    <mergeCell ref="FK5:FL5"/>
    <mergeCell ref="CZ5:DD5"/>
    <mergeCell ref="BE5:CB5"/>
    <mergeCell ref="CC5:CF5"/>
    <mergeCell ref="CG5:CI5"/>
    <mergeCell ref="CJ5:CK5"/>
    <mergeCell ref="CL5:CM5"/>
    <mergeCell ref="CN5:CO5"/>
    <mergeCell ref="CP5:CR5"/>
    <mergeCell ref="CS5:CU5"/>
    <mergeCell ref="CV5:CY5"/>
    <mergeCell ref="FQ5:FT5"/>
    <mergeCell ref="FU5:FX5"/>
    <mergeCell ref="FY5:GH5"/>
    <mergeCell ref="CV4:FA4"/>
    <mergeCell ref="FB4:GK4"/>
    <mergeCell ref="FM5:FP5"/>
    <mergeCell ref="DE5:DS5"/>
    <mergeCell ref="DT5:DU5"/>
    <mergeCell ref="DV5:EA5"/>
    <mergeCell ref="EB5:EF5"/>
    <mergeCell ref="EG5:EH5"/>
    <mergeCell ref="EI5:EM5"/>
    <mergeCell ref="EN5:ET5"/>
    <mergeCell ref="EU5:FA5"/>
    <mergeCell ref="FB5:FH5"/>
    <mergeCell ref="FI5:FJ5"/>
    <mergeCell ref="BE4:CU4"/>
    <mergeCell ref="AZ4:BD4"/>
    <mergeCell ref="AZ5:AZ6"/>
    <mergeCell ref="A5:P5"/>
    <mergeCell ref="Q5:Z5"/>
    <mergeCell ref="AA5:AD5"/>
    <mergeCell ref="AK5:AM5"/>
    <mergeCell ref="AE5:AJ5"/>
    <mergeCell ref="A4:AJ4"/>
    <mergeCell ref="AK4:AY4"/>
    <mergeCell ref="AN5:AY5"/>
  </mergeCells>
  <conditionalFormatting sqref="B6">
    <cfRule type="duplicateValues" dxfId="0" priority="1"/>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7" tint="0.39997558519241921"/>
    <pageSetUpPr fitToPage="1"/>
  </sheetPr>
  <dimension ref="A1:AA115"/>
  <sheetViews>
    <sheetView showGridLines="0" zoomScaleNormal="100" workbookViewId="0">
      <pane ySplit="5" topLeftCell="A6" activePane="bottomLeft" state="frozen"/>
      <selection pane="bottomLeft" activeCell="M41" sqref="M41"/>
    </sheetView>
  </sheetViews>
  <sheetFormatPr baseColWidth="10" defaultColWidth="9.109375" defaultRowHeight="14.4" x14ac:dyDescent="0.3"/>
  <cols>
    <col min="12" max="12" width="9.109375" customWidth="1"/>
  </cols>
  <sheetData>
    <row r="1" spans="1:26" x14ac:dyDescent="0.3">
      <c r="A1" s="26"/>
      <c r="B1" s="26"/>
      <c r="C1" s="26"/>
      <c r="D1" s="26"/>
      <c r="E1" s="26"/>
      <c r="F1" s="26"/>
      <c r="G1" s="26"/>
      <c r="H1" s="26"/>
      <c r="I1" s="26"/>
      <c r="J1" s="26"/>
      <c r="K1" s="26"/>
      <c r="L1" s="26"/>
      <c r="M1" s="26"/>
      <c r="N1" s="26"/>
      <c r="O1" s="26"/>
      <c r="P1" s="26"/>
      <c r="Q1" s="26"/>
      <c r="R1" s="26"/>
      <c r="S1" s="26"/>
      <c r="T1" s="26"/>
      <c r="U1" s="26"/>
      <c r="V1" s="26"/>
      <c r="W1" s="26"/>
      <c r="X1" s="26"/>
      <c r="Y1" s="645" t="str">
        <f>Accueil!I6</f>
        <v>Version 1.15</v>
      </c>
      <c r="Z1" s="645"/>
    </row>
    <row r="2" spans="1:26" x14ac:dyDescent="0.3">
      <c r="A2" s="26"/>
      <c r="B2" s="26"/>
      <c r="C2" s="26"/>
      <c r="D2" s="26"/>
      <c r="E2" s="26"/>
      <c r="F2" s="26"/>
      <c r="G2" s="26"/>
      <c r="H2" s="26"/>
      <c r="I2" s="26"/>
      <c r="J2" s="26"/>
      <c r="K2" s="26"/>
      <c r="L2" s="26"/>
      <c r="M2" s="26"/>
      <c r="N2" s="26"/>
      <c r="O2" s="26"/>
      <c r="P2" s="26"/>
      <c r="Q2" s="26"/>
      <c r="R2" s="26"/>
      <c r="S2" s="26"/>
      <c r="T2" s="26"/>
      <c r="U2" s="26"/>
      <c r="V2" s="26"/>
      <c r="W2" s="26"/>
      <c r="X2" s="26"/>
      <c r="Y2" s="26"/>
      <c r="Z2" s="26"/>
    </row>
    <row r="3" spans="1:26" x14ac:dyDescent="0.3">
      <c r="A3" s="26"/>
      <c r="B3" s="26"/>
      <c r="C3" s="26"/>
      <c r="D3" s="26"/>
      <c r="E3" s="26"/>
      <c r="F3" s="26"/>
      <c r="G3" s="26"/>
      <c r="H3" s="26"/>
      <c r="I3" s="26"/>
      <c r="J3" s="26"/>
      <c r="K3" s="26"/>
      <c r="L3" s="26"/>
      <c r="M3" s="26"/>
      <c r="N3" s="26"/>
      <c r="O3" s="26"/>
      <c r="P3" s="26"/>
      <c r="Q3" s="26"/>
      <c r="R3" s="26"/>
      <c r="S3" s="26"/>
      <c r="T3" s="26"/>
      <c r="U3" s="26"/>
      <c r="V3" s="26"/>
      <c r="W3" s="26"/>
      <c r="X3" s="26"/>
      <c r="Y3" s="26"/>
      <c r="Z3" s="26"/>
    </row>
    <row r="4" spans="1:26" x14ac:dyDescent="0.3">
      <c r="A4" s="26"/>
      <c r="B4" s="26"/>
      <c r="C4" s="26"/>
      <c r="D4" s="26"/>
      <c r="E4" s="26"/>
      <c r="F4" s="26"/>
      <c r="G4" s="26"/>
      <c r="H4" s="26"/>
      <c r="I4" s="26"/>
      <c r="J4" s="26"/>
      <c r="K4" s="26"/>
      <c r="L4" s="26"/>
      <c r="M4" s="26"/>
      <c r="N4" s="26"/>
      <c r="O4" s="26"/>
      <c r="P4" s="26"/>
      <c r="Q4" s="26"/>
      <c r="R4" s="26"/>
      <c r="S4" s="26"/>
      <c r="T4" s="26"/>
      <c r="U4" s="26"/>
      <c r="V4" s="26"/>
      <c r="W4" s="26"/>
      <c r="X4" s="26"/>
      <c r="Y4" s="26"/>
      <c r="Z4" s="26"/>
    </row>
    <row r="5" spans="1:26" x14ac:dyDescent="0.3">
      <c r="A5" s="26"/>
      <c r="B5" s="26"/>
      <c r="C5" s="26"/>
      <c r="D5" s="26"/>
      <c r="E5" s="26"/>
      <c r="F5" s="26"/>
      <c r="G5" s="26"/>
      <c r="H5" s="26"/>
      <c r="I5" s="26"/>
      <c r="J5" s="26"/>
      <c r="K5" s="26"/>
      <c r="L5" s="26"/>
      <c r="M5" s="26"/>
      <c r="N5" s="26"/>
      <c r="O5" s="26"/>
      <c r="P5" s="26"/>
      <c r="Q5" s="26"/>
      <c r="R5" s="26"/>
      <c r="S5" s="26"/>
      <c r="T5" s="26"/>
      <c r="U5" s="26"/>
      <c r="V5" s="26"/>
      <c r="W5" s="26"/>
      <c r="X5" s="26"/>
      <c r="Y5" s="26"/>
      <c r="Z5" s="26"/>
    </row>
    <row r="7" spans="1:26" ht="15" thickBot="1" x14ac:dyDescent="0.35"/>
    <row r="8" spans="1:26" x14ac:dyDescent="0.3">
      <c r="B8" s="3"/>
      <c r="C8" s="4"/>
      <c r="D8" s="4"/>
      <c r="E8" s="4"/>
      <c r="F8" s="4"/>
      <c r="G8" s="4"/>
      <c r="H8" s="4"/>
      <c r="I8" s="4"/>
      <c r="J8" s="4"/>
      <c r="K8" s="4"/>
      <c r="L8" s="4"/>
      <c r="M8" s="9"/>
      <c r="N8" s="9"/>
      <c r="O8" s="484"/>
      <c r="P8" s="484"/>
      <c r="Q8" s="484"/>
      <c r="R8" s="484"/>
      <c r="S8" s="484"/>
      <c r="T8" s="484"/>
      <c r="U8" s="484"/>
      <c r="V8" s="484"/>
      <c r="W8" s="9"/>
      <c r="X8" s="9"/>
      <c r="Y8" s="10"/>
    </row>
    <row r="9" spans="1:26" x14ac:dyDescent="0.3">
      <c r="B9" s="5"/>
      <c r="O9" s="485" t="str">
        <f>IF(OR(F12="",GESCO_NATURE_AUDIT=""),"",IF(AND(TYPE_CERTIF=Listes!P5,GESCO_NATURE_AUDIT="Audit interne"),"Audit interne : pensez à reporter les données récapitulatives dans le fichier de synthèse du collectif.",""))</f>
        <v/>
      </c>
      <c r="Y9" s="12"/>
    </row>
    <row r="10" spans="1:26" x14ac:dyDescent="0.3">
      <c r="B10" s="5"/>
      <c r="F10" s="637"/>
      <c r="G10" s="638"/>
      <c r="H10" s="535" t="str">
        <f>IF(ISBLANK(DATE_AUDIT),"A saisir","")</f>
        <v>A saisir</v>
      </c>
      <c r="O10" s="497" t="str">
        <f>IF(F12="","Cadre collectif :",IF(TYPE_CERTIF=Listes!P5,"Cadre collectif : Renseignez la nature de l'audit et les informations obligatoires sur la structure collective.","Cadre collectif : Ne pas compléter les informations ci-dessous pour une certification dans un cadre Individuel."))</f>
        <v>Cadre collectif :</v>
      </c>
      <c r="P10" s="498"/>
      <c r="Q10" s="492"/>
      <c r="R10" s="126"/>
      <c r="S10" s="126"/>
      <c r="T10" s="126"/>
      <c r="U10" s="126"/>
      <c r="V10" s="126"/>
      <c r="W10" s="126"/>
      <c r="Y10" s="12"/>
    </row>
    <row r="11" spans="1:26" x14ac:dyDescent="0.3">
      <c r="B11" s="5"/>
      <c r="O11" s="481"/>
      <c r="P11" s="123"/>
      <c r="Q11" s="123"/>
      <c r="R11" s="123"/>
      <c r="S11" s="123"/>
      <c r="T11" s="123"/>
      <c r="U11" s="123"/>
      <c r="V11" s="123"/>
      <c r="W11" s="123"/>
      <c r="X11" s="147"/>
      <c r="Y11" s="12"/>
    </row>
    <row r="12" spans="1:26" x14ac:dyDescent="0.3">
      <c r="B12" s="5"/>
      <c r="E12" s="465" t="str">
        <f>IF(F12="","",VLOOKUP(F12,Listes!O4:P5,2,FALSE))</f>
        <v/>
      </c>
      <c r="F12" s="624"/>
      <c r="G12" s="625"/>
      <c r="H12" s="625"/>
      <c r="I12" s="625"/>
      <c r="J12" s="625"/>
      <c r="K12" s="626"/>
      <c r="L12" s="535" t="str">
        <f>IF(ISBLANK(F12),"A saisir","")</f>
        <v>A saisir</v>
      </c>
      <c r="O12" s="482"/>
      <c r="Q12" s="89"/>
      <c r="R12" s="624"/>
      <c r="S12" s="625"/>
      <c r="T12" s="626"/>
      <c r="U12" s="643" t="str">
        <f>IF(AND(ISBLANK(GESCO_NATURE_AUDIT),TYPE_CERTIF="Collectif"),"   A saisir","")</f>
        <v/>
      </c>
      <c r="V12" s="644"/>
      <c r="W12" s="644"/>
      <c r="X12" s="145"/>
      <c r="Y12" s="12"/>
    </row>
    <row r="13" spans="1:26" x14ac:dyDescent="0.3">
      <c r="B13" s="5"/>
      <c r="F13" s="551"/>
      <c r="G13" s="551"/>
      <c r="H13" s="551"/>
      <c r="I13" s="551"/>
      <c r="J13" s="551"/>
      <c r="K13" s="551"/>
      <c r="L13" s="465"/>
      <c r="O13" s="482"/>
      <c r="Q13" s="89"/>
      <c r="R13" s="538"/>
      <c r="S13" s="538"/>
      <c r="T13" s="538"/>
      <c r="U13" s="536"/>
      <c r="V13" s="536"/>
      <c r="W13" s="536"/>
      <c r="X13" s="145"/>
      <c r="Y13" s="12"/>
    </row>
    <row r="14" spans="1:26" x14ac:dyDescent="0.3">
      <c r="B14" s="5"/>
      <c r="F14" s="551"/>
      <c r="G14" s="551"/>
      <c r="H14" s="551"/>
      <c r="I14" s="551"/>
      <c r="J14" s="551"/>
      <c r="K14" s="551"/>
      <c r="L14" s="465"/>
      <c r="O14" s="482"/>
      <c r="Q14" s="89"/>
      <c r="R14" s="647"/>
      <c r="S14" s="648"/>
      <c r="T14" s="649"/>
      <c r="U14" s="643" t="str">
        <f>IF(AND(ISBLANK(LOCALISATION_AUDIT_INTERNE),GESCO_NATURE_AUDIT="Audit interne",M16="Suivi"),"   A saisir",IF(AND(NOT(ISBLANK(LOCALISATION_AUDIT_INTERNE)),GESCO_NATURE_AUDIT="Audit externe"),"   Vider le champ",""))</f>
        <v/>
      </c>
      <c r="V14" s="644"/>
      <c r="W14" s="644"/>
      <c r="X14" s="145"/>
      <c r="Y14" s="12"/>
    </row>
    <row r="15" spans="1:26" x14ac:dyDescent="0.3">
      <c r="B15" s="5"/>
      <c r="O15" s="144"/>
      <c r="X15" s="145"/>
      <c r="Y15" s="12"/>
    </row>
    <row r="16" spans="1:26" x14ac:dyDescent="0.3">
      <c r="B16" s="5"/>
      <c r="F16" s="598"/>
      <c r="G16" s="599"/>
      <c r="H16" s="600"/>
      <c r="I16" s="641" t="str">
        <f>IF(ISBLANK(cTypeAudit),"   A saisir",IF(OR(F12="",TYPE_AUDIT=""),"",IF(AND(TYPE_CERTIF=Listes!P4,TYPE_AUDIT=Listes!M7),"   Incohérence type audit / type certif","")))</f>
        <v xml:space="preserve">   A saisir</v>
      </c>
      <c r="J16" s="642"/>
      <c r="K16" s="642"/>
      <c r="L16" s="642"/>
      <c r="M16" s="542" t="str">
        <f>IF(OR(cTypeAudit="Suivi",cTypeAudit="2e suivi (cadre collectif)"),"Suivi","")</f>
        <v/>
      </c>
      <c r="O16" s="144"/>
      <c r="R16" s="627"/>
      <c r="S16" s="646"/>
      <c r="T16" s="628"/>
      <c r="U16" s="643" t="str">
        <f>IF(AND(ISBLANK(GESCO_SIRET_SC),GESCO_NATURE_AUDIT="Audit externe"),"   A saisir",IF(RIGHT(Ctrl_Siret!Q15,1)="0","","   Siret non valide"))</f>
        <v/>
      </c>
      <c r="V16" s="644"/>
      <c r="W16" s="644"/>
      <c r="X16" s="483"/>
      <c r="Y16" s="480"/>
    </row>
    <row r="17" spans="2:27" x14ac:dyDescent="0.3">
      <c r="B17" s="5"/>
      <c r="O17" s="144"/>
      <c r="X17" s="145"/>
      <c r="Y17" s="12"/>
    </row>
    <row r="18" spans="2:27" x14ac:dyDescent="0.3">
      <c r="B18" s="5"/>
      <c r="E18" s="542" t="e">
        <f>VLOOKUP(F18,Listes!R4:S20,2,FALSE)</f>
        <v>#N/A</v>
      </c>
      <c r="F18" s="624"/>
      <c r="G18" s="625"/>
      <c r="H18" s="625"/>
      <c r="I18" s="625"/>
      <c r="J18" s="625"/>
      <c r="K18" s="625"/>
      <c r="L18" s="626"/>
      <c r="M18" s="535" t="str">
        <f>IF(AND(ISBLANK(F18),GESCO_NATURE_AUDIT&lt;&gt;"Audit interne"),"A saisir","")</f>
        <v>A saisir</v>
      </c>
      <c r="O18" s="144"/>
      <c r="R18" s="624"/>
      <c r="S18" s="625"/>
      <c r="T18" s="625"/>
      <c r="U18" s="625"/>
      <c r="V18" s="626"/>
      <c r="X18" s="145"/>
      <c r="Y18" s="12"/>
    </row>
    <row r="19" spans="2:27" x14ac:dyDescent="0.3">
      <c r="B19" s="5"/>
      <c r="F19" s="479"/>
      <c r="O19" s="144"/>
      <c r="X19" s="145"/>
      <c r="Y19" s="12"/>
    </row>
    <row r="20" spans="2:27" x14ac:dyDescent="0.3">
      <c r="B20" s="5"/>
      <c r="O20" s="144"/>
      <c r="R20" s="624"/>
      <c r="S20" s="625"/>
      <c r="T20" s="625"/>
      <c r="U20" s="625"/>
      <c r="V20" s="626"/>
      <c r="X20" s="145"/>
      <c r="Y20" s="12"/>
    </row>
    <row r="21" spans="2:27" x14ac:dyDescent="0.3">
      <c r="B21" s="5"/>
      <c r="F21" s="598"/>
      <c r="G21" s="599"/>
      <c r="H21" s="599"/>
      <c r="I21" s="599"/>
      <c r="J21" s="599"/>
      <c r="K21" s="599"/>
      <c r="L21" s="600"/>
      <c r="M21" s="535" t="str">
        <f>IF(ISBLANK(NOM_AUDITEUR),"A saisir","")</f>
        <v>A saisir</v>
      </c>
      <c r="O21" s="144"/>
      <c r="X21" s="145"/>
      <c r="Y21" s="12"/>
    </row>
    <row r="22" spans="2:27" x14ac:dyDescent="0.3">
      <c r="B22" s="5"/>
      <c r="N22" s="141"/>
      <c r="O22" s="144"/>
      <c r="R22" s="624"/>
      <c r="S22" s="625"/>
      <c r="T22" s="625"/>
      <c r="U22" s="625"/>
      <c r="V22" s="626"/>
      <c r="X22" s="145"/>
      <c r="Y22" s="12"/>
    </row>
    <row r="23" spans="2:27" x14ac:dyDescent="0.3">
      <c r="B23" s="5"/>
      <c r="D23" s="548"/>
      <c r="E23" s="548"/>
      <c r="F23" s="548"/>
      <c r="G23" s="548"/>
      <c r="H23" s="548"/>
      <c r="I23" s="548"/>
      <c r="J23" s="548"/>
      <c r="K23" s="548"/>
      <c r="L23" s="548"/>
      <c r="N23" s="141"/>
      <c r="O23" s="144"/>
      <c r="X23" s="145"/>
      <c r="Y23" s="12"/>
    </row>
    <row r="24" spans="2:27" x14ac:dyDescent="0.3">
      <c r="B24" s="5"/>
      <c r="H24" s="154"/>
      <c r="J24" s="154"/>
      <c r="K24" s="154"/>
      <c r="L24" s="154"/>
      <c r="O24" s="144"/>
      <c r="R24" s="627"/>
      <c r="S24" s="628"/>
      <c r="X24" s="145"/>
      <c r="Y24" s="12"/>
    </row>
    <row r="25" spans="2:27" x14ac:dyDescent="0.3">
      <c r="B25" s="5"/>
      <c r="F25" s="639"/>
      <c r="G25" s="640"/>
      <c r="H25" s="535" t="str">
        <f>IF(ISBLANK(CAMPAGNE_EVALUEE),"A saisir","")</f>
        <v>A saisir</v>
      </c>
      <c r="I25" s="478"/>
      <c r="J25" s="154"/>
      <c r="K25" s="154"/>
      <c r="L25" s="154"/>
      <c r="O25" s="144"/>
      <c r="X25" s="145"/>
      <c r="Y25" s="12"/>
      <c r="AA25" s="564"/>
    </row>
    <row r="26" spans="2:27" x14ac:dyDescent="0.3">
      <c r="B26" s="5"/>
      <c r="F26" s="548" t="s">
        <v>3208</v>
      </c>
      <c r="O26" s="144"/>
      <c r="R26" s="624"/>
      <c r="S26" s="625"/>
      <c r="T26" s="625"/>
      <c r="U26" s="625"/>
      <c r="V26" s="626"/>
      <c r="X26" s="145"/>
      <c r="Y26" s="12"/>
    </row>
    <row r="27" spans="2:27" x14ac:dyDescent="0.3">
      <c r="B27" s="5"/>
      <c r="F27" s="598"/>
      <c r="G27" s="599"/>
      <c r="H27" s="599"/>
      <c r="I27" s="599"/>
      <c r="J27" s="599"/>
      <c r="K27" s="599"/>
      <c r="L27" s="600"/>
      <c r="M27" s="535" t="str">
        <f>IF(ISBLANK(DUREE_AUDIT),"A saisir","")</f>
        <v>A saisir</v>
      </c>
      <c r="O27" s="146"/>
      <c r="P27" s="126"/>
      <c r="Q27" s="126"/>
      <c r="R27" s="126"/>
      <c r="S27" s="126"/>
      <c r="T27" s="126"/>
      <c r="U27" s="126"/>
      <c r="V27" s="126"/>
      <c r="W27" s="126"/>
      <c r="X27" s="148"/>
      <c r="Y27" s="12"/>
    </row>
    <row r="28" spans="2:27" ht="15" thickBot="1" x14ac:dyDescent="0.35">
      <c r="B28" s="6"/>
      <c r="C28" s="7"/>
      <c r="D28" s="7"/>
      <c r="E28" s="7"/>
      <c r="F28" s="7"/>
      <c r="G28" s="7"/>
      <c r="H28" s="7"/>
      <c r="I28" s="7"/>
      <c r="J28" s="7"/>
      <c r="K28" s="7"/>
      <c r="L28" s="7"/>
      <c r="M28" s="14"/>
      <c r="N28" s="14"/>
      <c r="O28" s="14"/>
      <c r="P28" s="14"/>
      <c r="Q28" s="14"/>
      <c r="R28" s="14"/>
      <c r="S28" s="14"/>
      <c r="T28" s="14"/>
      <c r="U28" s="14"/>
      <c r="V28" s="14"/>
      <c r="W28" s="14"/>
      <c r="X28" s="14"/>
      <c r="Y28" s="15"/>
    </row>
    <row r="31" spans="2:27" ht="15" thickBot="1" x14ac:dyDescent="0.35"/>
    <row r="32" spans="2:27" x14ac:dyDescent="0.3">
      <c r="B32" s="8"/>
      <c r="C32" s="9"/>
      <c r="D32" s="9"/>
      <c r="E32" s="9"/>
      <c r="F32" s="9"/>
      <c r="G32" s="9"/>
      <c r="H32" s="9"/>
      <c r="I32" s="9"/>
      <c r="J32" s="9"/>
      <c r="K32" s="9"/>
      <c r="L32" s="9"/>
      <c r="M32" s="9"/>
      <c r="N32" s="9"/>
      <c r="O32" s="9"/>
      <c r="P32" s="9"/>
      <c r="Q32" s="9"/>
      <c r="R32" s="9"/>
      <c r="S32" s="9"/>
      <c r="T32" s="9"/>
      <c r="U32" s="9"/>
      <c r="V32" s="9"/>
      <c r="W32" s="9"/>
      <c r="X32" s="9"/>
      <c r="Y32" s="10"/>
    </row>
    <row r="33" spans="2:27" x14ac:dyDescent="0.3">
      <c r="B33" s="11"/>
      <c r="X33" s="175"/>
      <c r="Y33" s="12"/>
    </row>
    <row r="34" spans="2:27" x14ac:dyDescent="0.3">
      <c r="B34" s="11"/>
      <c r="F34" s="619"/>
      <c r="G34" s="620"/>
      <c r="H34" s="620"/>
      <c r="I34" s="620"/>
      <c r="J34" s="620"/>
      <c r="K34" s="620"/>
      <c r="L34" s="621"/>
      <c r="R34" s="598"/>
      <c r="S34" s="599"/>
      <c r="T34" s="599"/>
      <c r="U34" s="599"/>
      <c r="V34" s="599"/>
      <c r="W34" s="599"/>
      <c r="X34" s="600"/>
      <c r="Y34" s="12"/>
      <c r="AA34" s="562"/>
    </row>
    <row r="35" spans="2:27" x14ac:dyDescent="0.3">
      <c r="B35" s="11"/>
      <c r="Y35" s="12"/>
    </row>
    <row r="36" spans="2:27" x14ac:dyDescent="0.3">
      <c r="B36" s="11"/>
      <c r="F36" s="598"/>
      <c r="G36" s="599"/>
      <c r="H36" s="599"/>
      <c r="I36" s="599"/>
      <c r="J36" s="599"/>
      <c r="K36" s="599"/>
      <c r="L36" s="600"/>
      <c r="M36" s="535" t="str">
        <f>IF(ISBLANK(RAISOC_EXPLOITATION),"A saisir","")</f>
        <v>A saisir</v>
      </c>
      <c r="R36" s="598"/>
      <c r="S36" s="599"/>
      <c r="T36" s="599"/>
      <c r="U36" s="599"/>
      <c r="V36" s="599"/>
      <c r="W36" s="599"/>
      <c r="X36" s="600"/>
      <c r="Y36" s="544"/>
    </row>
    <row r="37" spans="2:27" x14ac:dyDescent="0.3">
      <c r="B37" s="11"/>
      <c r="R37" s="559"/>
      <c r="S37" s="281"/>
      <c r="Y37" s="12"/>
    </row>
    <row r="38" spans="2:27" x14ac:dyDescent="0.3">
      <c r="B38" s="11"/>
      <c r="F38" s="629"/>
      <c r="G38" s="630"/>
      <c r="H38" s="630"/>
      <c r="I38" s="631"/>
      <c r="J38" s="543" t="str">
        <f>IF(AND(ISBLANK(SIRET_EXPLOITATION),ISBLANK(CVI_EXPLOITATION)),"   Saisir SIRET ou CVI",IF(RIGHT(Ctrl_Siret!Q7,1)="0","","   Siret non valide"))</f>
        <v xml:space="preserve">   Saisir SIRET ou CVI</v>
      </c>
      <c r="K38" s="485"/>
      <c r="L38" s="485"/>
      <c r="R38" s="598"/>
      <c r="S38" s="599"/>
      <c r="T38" s="599"/>
      <c r="U38" s="599"/>
      <c r="V38" s="599"/>
      <c r="W38" s="599"/>
      <c r="X38" s="600"/>
      <c r="Y38" s="535" t="str">
        <f>IF(ISBLANK(COMMUNE_EXPLOITATION_SIEGE),"A saisir","")</f>
        <v>A saisir</v>
      </c>
      <c r="Z38" s="82"/>
      <c r="AA38" s="564"/>
    </row>
    <row r="39" spans="2:27" x14ac:dyDescent="0.3">
      <c r="B39" s="11"/>
      <c r="Y39" s="12"/>
      <c r="AA39" s="564"/>
    </row>
    <row r="40" spans="2:27" x14ac:dyDescent="0.3">
      <c r="B40" s="11"/>
      <c r="F40" s="629"/>
      <c r="G40" s="630"/>
      <c r="H40" s="630"/>
      <c r="I40" s="631"/>
      <c r="J40" s="543" t="str">
        <f>IF(AND(ISBLANK(SIRET_EXPLOITATION),ISBLANK(CVI_EXPLOITATION)),"   Saisir SIRET ou CVI","")</f>
        <v xml:space="preserve">   Saisir SIRET ou CVI</v>
      </c>
      <c r="R40" s="635"/>
      <c r="S40" s="636"/>
      <c r="T40" s="535" t="str">
        <f>IF(ISBLANK(CODE_POSTAL_EXPLOITATION_SIEGE),"A saisir","")</f>
        <v>A saisir</v>
      </c>
      <c r="Y40" s="544"/>
      <c r="AA40" s="564"/>
    </row>
    <row r="41" spans="2:27" x14ac:dyDescent="0.3">
      <c r="B41" s="11"/>
      <c r="Y41" s="12"/>
      <c r="AA41" s="564"/>
    </row>
    <row r="42" spans="2:27" x14ac:dyDescent="0.3">
      <c r="B42" s="11"/>
      <c r="F42" s="462"/>
      <c r="R42" s="604" t="str">
        <f>IF(R40="","",IFERROR(
  INDEX(Paramètres!$BC:$BC,MATCH(
    IF(AND(LEFT(TEXT(R40,"00000"),2)="20",VALUE(TEXT(R40,"00000"))&lt;=20190),"02A",
    IF(AND(LEFT(TEXT(R40,"00000"),2)="20",VALUE(TEXT(R40,"00000"))&gt;=20200),"02B",
    IF(VALUE(LEFT(TEXT(R40,"00000"),3))&gt;=970,
      LEFT(TEXT(R40,"00000"),3),
      LEFT(TEXT(R40,"00000"),2)
    ))),
  Paramètres!$BB:$BB,0)),
"Département non trouvé"))</f>
        <v/>
      </c>
      <c r="S42" s="605"/>
      <c r="T42" s="605"/>
      <c r="U42" s="605"/>
      <c r="V42" s="606"/>
      <c r="X42" s="542"/>
      <c r="Y42" s="12"/>
    </row>
    <row r="43" spans="2:27" x14ac:dyDescent="0.3">
      <c r="B43" s="11"/>
      <c r="Y43" s="12"/>
    </row>
    <row r="44" spans="2:27" x14ac:dyDescent="0.3">
      <c r="B44" s="11"/>
      <c r="R44" s="601" t="str">
        <f>IFERROR(INDEX(Paramètres!BF:BF,MATCH(R42,Paramètres!BC:BC,0)),"")</f>
        <v/>
      </c>
      <c r="S44" s="602"/>
      <c r="T44" s="602"/>
      <c r="U44" s="602"/>
      <c r="V44" s="603"/>
      <c r="Y44" s="12"/>
    </row>
    <row r="45" spans="2:27" x14ac:dyDescent="0.3">
      <c r="B45" s="11"/>
      <c r="F45" s="629"/>
      <c r="G45" s="630"/>
      <c r="H45" s="630"/>
      <c r="I45" s="631"/>
      <c r="Y45" s="12"/>
    </row>
    <row r="46" spans="2:27" x14ac:dyDescent="0.3">
      <c r="B46" s="11"/>
      <c r="Y46" s="12"/>
    </row>
    <row r="47" spans="2:27" x14ac:dyDescent="0.3">
      <c r="B47" s="11"/>
      <c r="F47" s="632"/>
      <c r="G47" s="633"/>
      <c r="H47" s="633"/>
      <c r="I47" s="633"/>
      <c r="J47" s="633"/>
      <c r="K47" s="633"/>
      <c r="L47" s="634"/>
      <c r="Y47" s="12"/>
    </row>
    <row r="48" spans="2:27" x14ac:dyDescent="0.3">
      <c r="B48" s="11"/>
      <c r="Y48" s="12"/>
    </row>
    <row r="49" spans="2:25" x14ac:dyDescent="0.3">
      <c r="B49" s="11"/>
      <c r="F49" s="632"/>
      <c r="G49" s="599"/>
      <c r="H49" s="599"/>
      <c r="I49" s="599"/>
      <c r="J49" s="599"/>
      <c r="K49" s="599"/>
      <c r="L49" s="600"/>
      <c r="U49" s="616"/>
      <c r="V49" s="618"/>
      <c r="W49" s="535" t="str">
        <f>IF(ISBLANK(REF_ANNUAIRE),"A saisir","")</f>
        <v>A saisir</v>
      </c>
      <c r="Y49" s="12"/>
    </row>
    <row r="50" spans="2:25" x14ac:dyDescent="0.3">
      <c r="B50" s="11"/>
      <c r="Y50" s="12"/>
    </row>
    <row r="51" spans="2:25" x14ac:dyDescent="0.3">
      <c r="B51" s="11"/>
      <c r="Y51" s="12"/>
    </row>
    <row r="52" spans="2:25" ht="15" thickBot="1" x14ac:dyDescent="0.35">
      <c r="B52" s="13"/>
      <c r="C52" s="14"/>
      <c r="D52" s="14"/>
      <c r="E52" s="14"/>
      <c r="F52" s="14"/>
      <c r="G52" s="14"/>
      <c r="H52" s="14"/>
      <c r="I52" s="14"/>
      <c r="J52" s="14"/>
      <c r="K52" s="14"/>
      <c r="L52" s="14"/>
      <c r="M52" s="14"/>
      <c r="N52" s="14"/>
      <c r="O52" s="14"/>
      <c r="P52" s="14"/>
      <c r="Q52" s="14"/>
      <c r="R52" s="14"/>
      <c r="S52" s="14"/>
      <c r="T52" s="14"/>
      <c r="U52" s="14"/>
      <c r="V52" s="14"/>
      <c r="W52" s="14"/>
      <c r="X52" s="14"/>
      <c r="Y52" s="15"/>
    </row>
    <row r="55" spans="2:25" ht="15" thickBot="1" x14ac:dyDescent="0.35"/>
    <row r="56" spans="2:25" x14ac:dyDescent="0.3">
      <c r="B56" s="16"/>
      <c r="C56" s="17"/>
      <c r="D56" s="17"/>
      <c r="E56" s="17"/>
      <c r="F56" s="17"/>
      <c r="G56" s="17"/>
      <c r="H56" s="17"/>
      <c r="I56" s="17"/>
      <c r="J56" s="17"/>
      <c r="K56" s="17"/>
      <c r="L56" s="17"/>
      <c r="M56" s="17"/>
      <c r="N56" s="17"/>
      <c r="O56" s="17"/>
      <c r="P56" s="17"/>
      <c r="Q56" s="17"/>
      <c r="R56" s="17"/>
      <c r="S56" s="17"/>
      <c r="T56" s="17"/>
      <c r="U56" s="17"/>
      <c r="V56" s="17"/>
      <c r="W56" s="17"/>
      <c r="X56" s="17"/>
      <c r="Y56" s="18"/>
    </row>
    <row r="57" spans="2:25" x14ac:dyDescent="0.3">
      <c r="B57" s="19"/>
      <c r="Y57" s="20"/>
    </row>
    <row r="58" spans="2:25" x14ac:dyDescent="0.3">
      <c r="B58" s="19"/>
      <c r="E58" s="466" t="e">
        <f>VLOOKUP(STATUT_JURIDIQUE,Listes!B4:C12,2,FALSE)</f>
        <v>#N/A</v>
      </c>
      <c r="F58" s="598"/>
      <c r="G58" s="599"/>
      <c r="H58" s="599"/>
      <c r="I58" s="600"/>
      <c r="J58" s="535" t="str">
        <f>IF(ISBLANK(STATUT_JURIDIQUE),"A saisir","")</f>
        <v>A saisir</v>
      </c>
      <c r="Y58" s="20"/>
    </row>
    <row r="59" spans="2:25" x14ac:dyDescent="0.3">
      <c r="B59" s="19"/>
      <c r="Y59" s="20"/>
    </row>
    <row r="60" spans="2:25" x14ac:dyDescent="0.3">
      <c r="B60" s="19"/>
      <c r="Y60" s="20"/>
    </row>
    <row r="61" spans="2:25" x14ac:dyDescent="0.3">
      <c r="B61" s="19"/>
      <c r="Y61" s="20"/>
    </row>
    <row r="62" spans="2:25" x14ac:dyDescent="0.3">
      <c r="B62" s="19"/>
      <c r="Y62" s="20"/>
    </row>
    <row r="63" spans="2:25" x14ac:dyDescent="0.3">
      <c r="B63" s="19"/>
      <c r="G63" s="466" t="e">
        <f>VLOOKUP(V_ACTIVITE_PRINCIPALE,Listes!G4:H12,2,FALSE)</f>
        <v>#N/A</v>
      </c>
      <c r="H63" s="598"/>
      <c r="I63" s="599"/>
      <c r="J63" s="599"/>
      <c r="K63" s="599"/>
      <c r="L63" s="600"/>
      <c r="M63" s="545" t="str">
        <f>IF(AND(ISBLANK(V_ACTIVITE_PRINCIPALE),ISBLANK(A_ACTIVITE_PRINCIPALE)),"      Saisir au moins 1 activité principale","")</f>
        <v xml:space="preserve">      Saisir au moins 1 activité principale</v>
      </c>
      <c r="T63" s="598"/>
      <c r="U63" s="599"/>
      <c r="V63" s="599"/>
      <c r="W63" s="599"/>
      <c r="X63" s="600"/>
      <c r="Y63" s="541" t="e">
        <f>VLOOKUP(A_ACTIVITE_PRINCIPALE,Listes!J4:K14,2,FALSE)</f>
        <v>#N/A</v>
      </c>
    </row>
    <row r="64" spans="2:25" x14ac:dyDescent="0.3">
      <c r="B64" s="19"/>
      <c r="Y64" s="20"/>
    </row>
    <row r="65" spans="2:25" x14ac:dyDescent="0.3">
      <c r="B65" s="19"/>
      <c r="H65" s="619"/>
      <c r="I65" s="620"/>
      <c r="J65" s="620"/>
      <c r="K65" s="620"/>
      <c r="L65" s="621"/>
      <c r="M65" s="542" t="e">
        <f>VLOOKUP(V_ACTIVITE_SECOND,Listes!G4:H12,2,FALSE)</f>
        <v>#N/A</v>
      </c>
      <c r="T65" s="598"/>
      <c r="U65" s="599"/>
      <c r="V65" s="599"/>
      <c r="W65" s="599"/>
      <c r="X65" s="600"/>
      <c r="Y65" s="541" t="e">
        <f>VLOOKUP(A_ACTIVITE_SECOND,Listes!J4:K14,2,FALSE)</f>
        <v>#N/A</v>
      </c>
    </row>
    <row r="66" spans="2:25" x14ac:dyDescent="0.3">
      <c r="B66" s="19"/>
      <c r="Y66" s="20"/>
    </row>
    <row r="67" spans="2:25" x14ac:dyDescent="0.3">
      <c r="B67" s="19"/>
      <c r="H67" s="619"/>
      <c r="I67" s="620"/>
      <c r="J67" s="620"/>
      <c r="K67" s="620"/>
      <c r="L67" s="621"/>
      <c r="M67" s="542" t="e">
        <f>VLOOKUP(V_AUTRE_ACTIVITE,Listes!G4:H12,2,FALSE)</f>
        <v>#N/A</v>
      </c>
      <c r="T67" s="619"/>
      <c r="U67" s="620"/>
      <c r="V67" s="620"/>
      <c r="W67" s="620"/>
      <c r="X67" s="621"/>
      <c r="Y67" s="541" t="e">
        <f>VLOOKUP(A_AUTRE_ACTIVITE,Listes!J4:K14,2,FALSE)</f>
        <v>#N/A</v>
      </c>
    </row>
    <row r="68" spans="2:25" x14ac:dyDescent="0.3">
      <c r="B68" s="19"/>
      <c r="Y68" s="20"/>
    </row>
    <row r="69" spans="2:25" x14ac:dyDescent="0.3">
      <c r="B69" s="19"/>
      <c r="Y69" s="20"/>
    </row>
    <row r="70" spans="2:25" x14ac:dyDescent="0.3">
      <c r="B70" s="19"/>
      <c r="Y70" s="20"/>
    </row>
    <row r="71" spans="2:25" x14ac:dyDescent="0.3">
      <c r="B71" s="19"/>
      <c r="F71" s="619"/>
      <c r="G71" s="620"/>
      <c r="H71" s="620"/>
      <c r="I71" s="621"/>
      <c r="Y71" s="20"/>
    </row>
    <row r="72" spans="2:25" x14ac:dyDescent="0.3">
      <c r="B72" s="19"/>
      <c r="F72" s="154"/>
      <c r="G72" s="154"/>
      <c r="H72" s="154"/>
      <c r="I72" s="154"/>
      <c r="R72" s="158"/>
      <c r="S72" s="158"/>
      <c r="Y72" s="20"/>
    </row>
    <row r="73" spans="2:25" x14ac:dyDescent="0.3">
      <c r="B73" s="19"/>
      <c r="Y73" s="20"/>
    </row>
    <row r="74" spans="2:25" x14ac:dyDescent="0.3">
      <c r="B74" s="19"/>
      <c r="F74" s="623"/>
      <c r="G74" s="623"/>
      <c r="H74" s="281"/>
      <c r="I74" s="281"/>
      <c r="J74" s="281"/>
      <c r="K74" s="281"/>
      <c r="L74" s="281"/>
      <c r="Y74" s="20"/>
    </row>
    <row r="75" spans="2:25" x14ac:dyDescent="0.3">
      <c r="B75" s="19"/>
      <c r="Y75" s="20"/>
    </row>
    <row r="76" spans="2:25" ht="15" thickBot="1" x14ac:dyDescent="0.35">
      <c r="B76" s="22"/>
      <c r="C76" s="23"/>
      <c r="D76" s="23"/>
      <c r="E76" s="23"/>
      <c r="F76" s="23"/>
      <c r="G76" s="23"/>
      <c r="H76" s="23"/>
      <c r="I76" s="23"/>
      <c r="J76" s="23"/>
      <c r="K76" s="23"/>
      <c r="L76" s="23"/>
      <c r="M76" s="23"/>
      <c r="N76" s="23"/>
      <c r="O76" s="23"/>
      <c r="P76" s="23"/>
      <c r="Q76" s="23"/>
      <c r="R76" s="23"/>
      <c r="S76" s="23"/>
      <c r="T76" s="23"/>
      <c r="U76" s="23"/>
      <c r="V76" s="23"/>
      <c r="W76" s="23"/>
      <c r="X76" s="23"/>
      <c r="Y76" s="24"/>
    </row>
    <row r="79" spans="2:25" ht="15" thickBot="1" x14ac:dyDescent="0.35"/>
    <row r="80" spans="2:25" x14ac:dyDescent="0.3">
      <c r="B80" s="16"/>
      <c r="C80" s="17"/>
      <c r="D80" s="17"/>
      <c r="E80" s="17"/>
      <c r="F80" s="17"/>
      <c r="G80" s="17"/>
      <c r="H80" s="17"/>
      <c r="I80" s="17"/>
      <c r="J80" s="17"/>
      <c r="K80" s="17"/>
      <c r="L80" s="17"/>
      <c r="M80" s="17"/>
      <c r="N80" s="17"/>
      <c r="O80" s="17"/>
      <c r="P80" s="17"/>
      <c r="Q80" s="17"/>
      <c r="R80" s="17"/>
      <c r="S80" s="17"/>
      <c r="T80" s="17"/>
      <c r="U80" s="17"/>
      <c r="V80" s="17"/>
      <c r="W80" s="17"/>
      <c r="X80" s="17"/>
      <c r="Y80" s="18"/>
    </row>
    <row r="81" spans="2:25" x14ac:dyDescent="0.3">
      <c r="B81" s="19"/>
      <c r="Y81" s="20"/>
    </row>
    <row r="82" spans="2:25" x14ac:dyDescent="0.3">
      <c r="B82" s="19"/>
      <c r="Y82" s="20"/>
    </row>
    <row r="83" spans="2:25" x14ac:dyDescent="0.3">
      <c r="B83" s="19"/>
      <c r="F83" s="622"/>
      <c r="G83" s="622"/>
      <c r="L83" s="598"/>
      <c r="M83" s="599"/>
      <c r="N83" s="599"/>
      <c r="O83" s="599"/>
      <c r="P83" s="599"/>
      <c r="Q83" s="599"/>
      <c r="R83" s="599"/>
      <c r="S83" s="599"/>
      <c r="T83" s="599"/>
      <c r="U83" s="599"/>
      <c r="V83" s="599"/>
      <c r="W83" s="600"/>
      <c r="X83" s="466" t="e">
        <f>VLOOKUP(DEMARCHE_NIV2,Listes!AO4:AP74,2,FALSE)</f>
        <v>#N/A</v>
      </c>
      <c r="Y83" s="20"/>
    </row>
    <row r="84" spans="2:25" x14ac:dyDescent="0.3">
      <c r="B84" s="19"/>
      <c r="Y84" s="20"/>
    </row>
    <row r="85" spans="2:25" x14ac:dyDescent="0.3">
      <c r="B85" s="19"/>
      <c r="Y85" s="20"/>
    </row>
    <row r="86" spans="2:25" x14ac:dyDescent="0.3">
      <c r="B86" s="19"/>
      <c r="C86" t="s">
        <v>558</v>
      </c>
      <c r="Y86" s="20"/>
    </row>
    <row r="87" spans="2:25" x14ac:dyDescent="0.3">
      <c r="B87" s="19"/>
      <c r="Y87" s="20"/>
    </row>
    <row r="88" spans="2:25" x14ac:dyDescent="0.3">
      <c r="B88" s="19"/>
      <c r="C88" t="s">
        <v>712</v>
      </c>
      <c r="G88" s="616"/>
      <c r="H88" s="617"/>
      <c r="I88" s="618"/>
      <c r="Y88" s="25"/>
    </row>
    <row r="89" spans="2:25" x14ac:dyDescent="0.3">
      <c r="B89" s="19"/>
      <c r="F89" s="155"/>
      <c r="G89" s="155"/>
      <c r="H89" s="155"/>
      <c r="I89" s="155"/>
      <c r="J89" s="155"/>
      <c r="K89" s="155"/>
      <c r="L89" s="155"/>
      <c r="M89" s="155"/>
      <c r="N89" s="155"/>
      <c r="O89" s="155"/>
      <c r="P89" s="155"/>
      <c r="Q89" s="155"/>
      <c r="R89" s="155"/>
      <c r="S89" s="155"/>
      <c r="T89" s="155"/>
      <c r="U89" s="155"/>
      <c r="V89" s="155"/>
      <c r="W89" s="155"/>
      <c r="X89" s="155"/>
      <c r="Y89" s="25"/>
    </row>
    <row r="90" spans="2:25" x14ac:dyDescent="0.3">
      <c r="B90" s="19"/>
      <c r="C90" t="s">
        <v>713</v>
      </c>
      <c r="G90" s="616"/>
      <c r="H90" s="617"/>
      <c r="I90" s="618"/>
      <c r="Y90" s="25"/>
    </row>
    <row r="91" spans="2:25" x14ac:dyDescent="0.3">
      <c r="B91" s="19"/>
      <c r="F91" s="155"/>
      <c r="G91" s="155"/>
      <c r="H91" s="155"/>
      <c r="I91" s="155"/>
      <c r="J91" s="155"/>
      <c r="K91" s="155"/>
      <c r="L91" s="155"/>
      <c r="M91" s="155"/>
      <c r="N91" s="155"/>
      <c r="O91" s="155"/>
      <c r="P91" s="155"/>
      <c r="Q91" s="155"/>
      <c r="R91" s="155"/>
      <c r="S91" s="155"/>
      <c r="T91" s="155"/>
      <c r="U91" s="155"/>
      <c r="V91" s="155"/>
      <c r="W91" s="155"/>
      <c r="X91" s="155"/>
      <c r="Y91" s="25"/>
    </row>
    <row r="92" spans="2:25" x14ac:dyDescent="0.3">
      <c r="B92" s="19"/>
      <c r="C92" t="s">
        <v>555</v>
      </c>
      <c r="F92" s="155"/>
      <c r="G92" s="616"/>
      <c r="H92" s="617"/>
      <c r="I92" s="618"/>
      <c r="J92" s="155"/>
      <c r="K92" s="155"/>
      <c r="L92" s="155"/>
      <c r="M92" s="155"/>
      <c r="N92" s="155"/>
      <c r="O92" s="155"/>
      <c r="P92" s="155"/>
      <c r="Q92" s="155"/>
      <c r="R92" s="155"/>
      <c r="S92" s="155"/>
      <c r="T92" s="155"/>
      <c r="U92" s="155"/>
      <c r="V92" s="155"/>
      <c r="W92" s="155"/>
      <c r="X92" s="155"/>
      <c r="Y92" s="25"/>
    </row>
    <row r="93" spans="2:25" x14ac:dyDescent="0.3">
      <c r="B93" s="19"/>
      <c r="C93" s="155"/>
      <c r="D93" s="155"/>
      <c r="E93" s="155"/>
      <c r="F93" s="155"/>
      <c r="G93" s="155"/>
      <c r="H93" s="155"/>
      <c r="I93" s="155"/>
      <c r="J93" s="155"/>
      <c r="K93" s="155"/>
      <c r="L93" s="155"/>
      <c r="M93" s="155"/>
      <c r="N93" s="155"/>
      <c r="O93" s="155"/>
      <c r="P93" s="155"/>
      <c r="Q93" s="155"/>
      <c r="R93" s="155"/>
      <c r="S93" s="155"/>
      <c r="T93" s="155"/>
      <c r="U93" s="155"/>
      <c r="V93" s="155"/>
      <c r="W93" s="155"/>
      <c r="X93" s="155"/>
      <c r="Y93" s="25"/>
    </row>
    <row r="94" spans="2:25" ht="15" thickBot="1" x14ac:dyDescent="0.35">
      <c r="B94" s="22"/>
      <c r="C94" s="156"/>
      <c r="D94" s="156"/>
      <c r="E94" s="156"/>
      <c r="F94" s="156"/>
      <c r="G94" s="156"/>
      <c r="H94" s="156"/>
      <c r="I94" s="156"/>
      <c r="J94" s="156"/>
      <c r="K94" s="156"/>
      <c r="L94" s="156"/>
      <c r="M94" s="156"/>
      <c r="N94" s="156"/>
      <c r="O94" s="156"/>
      <c r="P94" s="156"/>
      <c r="Q94" s="156"/>
      <c r="R94" s="156"/>
      <c r="S94" s="156"/>
      <c r="T94" s="156"/>
      <c r="U94" s="156"/>
      <c r="V94" s="156"/>
      <c r="W94" s="156"/>
      <c r="X94" s="156"/>
      <c r="Y94" s="24"/>
    </row>
    <row r="96" spans="2:25" ht="15" thickBot="1" x14ac:dyDescent="0.35"/>
    <row r="97" spans="2:25" x14ac:dyDescent="0.3">
      <c r="B97" s="8"/>
      <c r="C97" s="9"/>
      <c r="D97" s="9"/>
      <c r="E97" s="9"/>
      <c r="F97" s="9"/>
      <c r="G97" s="9"/>
      <c r="H97" s="9"/>
      <c r="I97" s="9"/>
      <c r="J97" s="9"/>
      <c r="K97" s="9"/>
      <c r="L97" s="9"/>
      <c r="M97" s="9"/>
      <c r="N97" s="9"/>
      <c r="O97" s="9"/>
      <c r="P97" s="9"/>
      <c r="Q97" s="9"/>
      <c r="R97" s="9"/>
      <c r="S97" s="9"/>
      <c r="T97" s="9"/>
      <c r="U97" s="9"/>
      <c r="V97" s="9"/>
      <c r="W97" s="9"/>
      <c r="X97" s="9"/>
      <c r="Y97" s="10"/>
    </row>
    <row r="98" spans="2:25" x14ac:dyDescent="0.3">
      <c r="B98" s="11"/>
      <c r="Y98" s="12"/>
    </row>
    <row r="99" spans="2:25" x14ac:dyDescent="0.3">
      <c r="B99" s="11"/>
      <c r="C99" s="607"/>
      <c r="D99" s="608"/>
      <c r="E99" s="608"/>
      <c r="F99" s="608"/>
      <c r="G99" s="608"/>
      <c r="H99" s="608"/>
      <c r="I99" s="608"/>
      <c r="J99" s="608"/>
      <c r="K99" s="608"/>
      <c r="L99" s="608"/>
      <c r="M99" s="608"/>
      <c r="N99" s="608"/>
      <c r="O99" s="608"/>
      <c r="P99" s="608"/>
      <c r="Q99" s="608"/>
      <c r="R99" s="608"/>
      <c r="S99" s="608"/>
      <c r="T99" s="608"/>
      <c r="U99" s="608"/>
      <c r="V99" s="608"/>
      <c r="W99" s="608"/>
      <c r="X99" s="609"/>
      <c r="Y99" s="12"/>
    </row>
    <row r="100" spans="2:25" x14ac:dyDescent="0.3">
      <c r="B100" s="11"/>
      <c r="C100" s="610"/>
      <c r="D100" s="611"/>
      <c r="E100" s="611"/>
      <c r="F100" s="611"/>
      <c r="G100" s="611"/>
      <c r="H100" s="611"/>
      <c r="I100" s="611"/>
      <c r="J100" s="611"/>
      <c r="K100" s="611"/>
      <c r="L100" s="611"/>
      <c r="M100" s="611"/>
      <c r="N100" s="611"/>
      <c r="O100" s="611"/>
      <c r="P100" s="611"/>
      <c r="Q100" s="611"/>
      <c r="R100" s="611"/>
      <c r="S100" s="611"/>
      <c r="T100" s="611"/>
      <c r="U100" s="611"/>
      <c r="V100" s="611"/>
      <c r="W100" s="611"/>
      <c r="X100" s="612"/>
      <c r="Y100" s="12"/>
    </row>
    <row r="101" spans="2:25" x14ac:dyDescent="0.3">
      <c r="B101" s="11"/>
      <c r="C101" s="610"/>
      <c r="D101" s="611"/>
      <c r="E101" s="611"/>
      <c r="F101" s="611"/>
      <c r="G101" s="611"/>
      <c r="H101" s="611"/>
      <c r="I101" s="611"/>
      <c r="J101" s="611"/>
      <c r="K101" s="611"/>
      <c r="L101" s="611"/>
      <c r="M101" s="611"/>
      <c r="N101" s="611"/>
      <c r="O101" s="611"/>
      <c r="P101" s="611"/>
      <c r="Q101" s="611"/>
      <c r="R101" s="611"/>
      <c r="S101" s="611"/>
      <c r="T101" s="611"/>
      <c r="U101" s="611"/>
      <c r="V101" s="611"/>
      <c r="W101" s="611"/>
      <c r="X101" s="612"/>
      <c r="Y101" s="12"/>
    </row>
    <row r="102" spans="2:25" x14ac:dyDescent="0.3">
      <c r="B102" s="11"/>
      <c r="C102" s="610"/>
      <c r="D102" s="611"/>
      <c r="E102" s="611"/>
      <c r="F102" s="611"/>
      <c r="G102" s="611"/>
      <c r="H102" s="611"/>
      <c r="I102" s="611"/>
      <c r="J102" s="611"/>
      <c r="K102" s="611"/>
      <c r="L102" s="611"/>
      <c r="M102" s="611"/>
      <c r="N102" s="611"/>
      <c r="O102" s="611"/>
      <c r="P102" s="611"/>
      <c r="Q102" s="611"/>
      <c r="R102" s="611"/>
      <c r="S102" s="611"/>
      <c r="T102" s="611"/>
      <c r="U102" s="611"/>
      <c r="V102" s="611"/>
      <c r="W102" s="611"/>
      <c r="X102" s="612"/>
      <c r="Y102" s="12"/>
    </row>
    <row r="103" spans="2:25" x14ac:dyDescent="0.3">
      <c r="B103" s="11"/>
      <c r="C103" s="610"/>
      <c r="D103" s="611"/>
      <c r="E103" s="611"/>
      <c r="F103" s="611"/>
      <c r="G103" s="611"/>
      <c r="H103" s="611"/>
      <c r="I103" s="611"/>
      <c r="J103" s="611"/>
      <c r="K103" s="611"/>
      <c r="L103" s="611"/>
      <c r="M103" s="611"/>
      <c r="N103" s="611"/>
      <c r="O103" s="611"/>
      <c r="P103" s="611"/>
      <c r="Q103" s="611"/>
      <c r="R103" s="611"/>
      <c r="S103" s="611"/>
      <c r="T103" s="611"/>
      <c r="U103" s="611"/>
      <c r="V103" s="611"/>
      <c r="W103" s="611"/>
      <c r="X103" s="612"/>
      <c r="Y103" s="12"/>
    </row>
    <row r="104" spans="2:25" x14ac:dyDescent="0.3">
      <c r="B104" s="11"/>
      <c r="C104" s="610"/>
      <c r="D104" s="611"/>
      <c r="E104" s="611"/>
      <c r="F104" s="611"/>
      <c r="G104" s="611"/>
      <c r="H104" s="611"/>
      <c r="I104" s="611"/>
      <c r="J104" s="611"/>
      <c r="K104" s="611"/>
      <c r="L104" s="611"/>
      <c r="M104" s="611"/>
      <c r="N104" s="611"/>
      <c r="O104" s="611"/>
      <c r="P104" s="611"/>
      <c r="Q104" s="611"/>
      <c r="R104" s="611"/>
      <c r="S104" s="611"/>
      <c r="T104" s="611"/>
      <c r="U104" s="611"/>
      <c r="V104" s="611"/>
      <c r="W104" s="611"/>
      <c r="X104" s="612"/>
      <c r="Y104" s="12"/>
    </row>
    <row r="105" spans="2:25" x14ac:dyDescent="0.3">
      <c r="B105" s="11"/>
      <c r="C105" s="610"/>
      <c r="D105" s="611"/>
      <c r="E105" s="611"/>
      <c r="F105" s="611"/>
      <c r="G105" s="611"/>
      <c r="H105" s="611"/>
      <c r="I105" s="611"/>
      <c r="J105" s="611"/>
      <c r="K105" s="611"/>
      <c r="L105" s="611"/>
      <c r="M105" s="611"/>
      <c r="N105" s="611"/>
      <c r="O105" s="611"/>
      <c r="P105" s="611"/>
      <c r="Q105" s="611"/>
      <c r="R105" s="611"/>
      <c r="S105" s="611"/>
      <c r="T105" s="611"/>
      <c r="U105" s="611"/>
      <c r="V105" s="611"/>
      <c r="W105" s="611"/>
      <c r="X105" s="612"/>
      <c r="Y105" s="12"/>
    </row>
    <row r="106" spans="2:25" x14ac:dyDescent="0.3">
      <c r="B106" s="11"/>
      <c r="C106" s="610"/>
      <c r="D106" s="611"/>
      <c r="E106" s="611"/>
      <c r="F106" s="611"/>
      <c r="G106" s="611"/>
      <c r="H106" s="611"/>
      <c r="I106" s="611"/>
      <c r="J106" s="611"/>
      <c r="K106" s="611"/>
      <c r="L106" s="611"/>
      <c r="M106" s="611"/>
      <c r="N106" s="611"/>
      <c r="O106" s="611"/>
      <c r="P106" s="611"/>
      <c r="Q106" s="611"/>
      <c r="R106" s="611"/>
      <c r="S106" s="611"/>
      <c r="T106" s="611"/>
      <c r="U106" s="611"/>
      <c r="V106" s="611"/>
      <c r="W106" s="611"/>
      <c r="X106" s="612"/>
      <c r="Y106" s="12"/>
    </row>
    <row r="107" spans="2:25" x14ac:dyDescent="0.3">
      <c r="B107" s="11"/>
      <c r="C107" s="610"/>
      <c r="D107" s="611"/>
      <c r="E107" s="611"/>
      <c r="F107" s="611"/>
      <c r="G107" s="611"/>
      <c r="H107" s="611"/>
      <c r="I107" s="611"/>
      <c r="J107" s="611"/>
      <c r="K107" s="611"/>
      <c r="L107" s="611"/>
      <c r="M107" s="611"/>
      <c r="N107" s="611"/>
      <c r="O107" s="611"/>
      <c r="P107" s="611"/>
      <c r="Q107" s="611"/>
      <c r="R107" s="611"/>
      <c r="S107" s="611"/>
      <c r="T107" s="611"/>
      <c r="U107" s="611"/>
      <c r="V107" s="611"/>
      <c r="W107" s="611"/>
      <c r="X107" s="612"/>
      <c r="Y107" s="12"/>
    </row>
    <row r="108" spans="2:25" x14ac:dyDescent="0.3">
      <c r="B108" s="11"/>
      <c r="C108" s="610"/>
      <c r="D108" s="611"/>
      <c r="E108" s="611"/>
      <c r="F108" s="611"/>
      <c r="G108" s="611"/>
      <c r="H108" s="611"/>
      <c r="I108" s="611"/>
      <c r="J108" s="611"/>
      <c r="K108" s="611"/>
      <c r="L108" s="611"/>
      <c r="M108" s="611"/>
      <c r="N108" s="611"/>
      <c r="O108" s="611"/>
      <c r="P108" s="611"/>
      <c r="Q108" s="611"/>
      <c r="R108" s="611"/>
      <c r="S108" s="611"/>
      <c r="T108" s="611"/>
      <c r="U108" s="611"/>
      <c r="V108" s="611"/>
      <c r="W108" s="611"/>
      <c r="X108" s="612"/>
      <c r="Y108" s="12"/>
    </row>
    <row r="109" spans="2:25" x14ac:dyDescent="0.3">
      <c r="B109" s="11"/>
      <c r="C109" s="610"/>
      <c r="D109" s="611"/>
      <c r="E109" s="611"/>
      <c r="F109" s="611"/>
      <c r="G109" s="611"/>
      <c r="H109" s="611"/>
      <c r="I109" s="611"/>
      <c r="J109" s="611"/>
      <c r="K109" s="611"/>
      <c r="L109" s="611"/>
      <c r="M109" s="611"/>
      <c r="N109" s="611"/>
      <c r="O109" s="611"/>
      <c r="P109" s="611"/>
      <c r="Q109" s="611"/>
      <c r="R109" s="611"/>
      <c r="S109" s="611"/>
      <c r="T109" s="611"/>
      <c r="U109" s="611"/>
      <c r="V109" s="611"/>
      <c r="W109" s="611"/>
      <c r="X109" s="612"/>
      <c r="Y109" s="12"/>
    </row>
    <row r="110" spans="2:25" x14ac:dyDescent="0.3">
      <c r="B110" s="11"/>
      <c r="C110" s="610"/>
      <c r="D110" s="611"/>
      <c r="E110" s="611"/>
      <c r="F110" s="611"/>
      <c r="G110" s="611"/>
      <c r="H110" s="611"/>
      <c r="I110" s="611"/>
      <c r="J110" s="611"/>
      <c r="K110" s="611"/>
      <c r="L110" s="611"/>
      <c r="M110" s="611"/>
      <c r="N110" s="611"/>
      <c r="O110" s="611"/>
      <c r="P110" s="611"/>
      <c r="Q110" s="611"/>
      <c r="R110" s="611"/>
      <c r="S110" s="611"/>
      <c r="T110" s="611"/>
      <c r="U110" s="611"/>
      <c r="V110" s="611"/>
      <c r="W110" s="611"/>
      <c r="X110" s="612"/>
      <c r="Y110" s="12"/>
    </row>
    <row r="111" spans="2:25" x14ac:dyDescent="0.3">
      <c r="B111" s="11"/>
      <c r="C111" s="610"/>
      <c r="D111" s="611"/>
      <c r="E111" s="611"/>
      <c r="F111" s="611"/>
      <c r="G111" s="611"/>
      <c r="H111" s="611"/>
      <c r="I111" s="611"/>
      <c r="J111" s="611"/>
      <c r="K111" s="611"/>
      <c r="L111" s="611"/>
      <c r="M111" s="611"/>
      <c r="N111" s="611"/>
      <c r="O111" s="611"/>
      <c r="P111" s="611"/>
      <c r="Q111" s="611"/>
      <c r="R111" s="611"/>
      <c r="S111" s="611"/>
      <c r="T111" s="611"/>
      <c r="U111" s="611"/>
      <c r="V111" s="611"/>
      <c r="W111" s="611"/>
      <c r="X111" s="612"/>
      <c r="Y111" s="12"/>
    </row>
    <row r="112" spans="2:25" x14ac:dyDescent="0.3">
      <c r="B112" s="11"/>
      <c r="C112" s="610"/>
      <c r="D112" s="611"/>
      <c r="E112" s="611"/>
      <c r="F112" s="611"/>
      <c r="G112" s="611"/>
      <c r="H112" s="611"/>
      <c r="I112" s="611"/>
      <c r="J112" s="611"/>
      <c r="K112" s="611"/>
      <c r="L112" s="611"/>
      <c r="M112" s="611"/>
      <c r="N112" s="611"/>
      <c r="O112" s="611"/>
      <c r="P112" s="611"/>
      <c r="Q112" s="611"/>
      <c r="R112" s="611"/>
      <c r="S112" s="611"/>
      <c r="T112" s="611"/>
      <c r="U112" s="611"/>
      <c r="V112" s="611"/>
      <c r="W112" s="611"/>
      <c r="X112" s="612"/>
      <c r="Y112" s="12"/>
    </row>
    <row r="113" spans="2:25" x14ac:dyDescent="0.3">
      <c r="B113" s="11"/>
      <c r="C113" s="613"/>
      <c r="D113" s="614"/>
      <c r="E113" s="614"/>
      <c r="F113" s="614"/>
      <c r="G113" s="614"/>
      <c r="H113" s="614"/>
      <c r="I113" s="614"/>
      <c r="J113" s="614"/>
      <c r="K113" s="614"/>
      <c r="L113" s="614"/>
      <c r="M113" s="614"/>
      <c r="N113" s="614"/>
      <c r="O113" s="614"/>
      <c r="P113" s="614"/>
      <c r="Q113" s="614"/>
      <c r="R113" s="614"/>
      <c r="S113" s="614"/>
      <c r="T113" s="614"/>
      <c r="U113" s="614"/>
      <c r="V113" s="614"/>
      <c r="W113" s="614"/>
      <c r="X113" s="615"/>
      <c r="Y113" s="12"/>
    </row>
    <row r="114" spans="2:25" x14ac:dyDescent="0.3">
      <c r="B114" s="11"/>
      <c r="Y114" s="12"/>
    </row>
    <row r="115" spans="2:25" ht="15" thickBot="1" x14ac:dyDescent="0.35">
      <c r="B115" s="13"/>
      <c r="C115" s="14"/>
      <c r="D115" s="14"/>
      <c r="E115" s="14"/>
      <c r="F115" s="14"/>
      <c r="G115" s="14"/>
      <c r="H115" s="14"/>
      <c r="I115" s="14"/>
      <c r="J115" s="14"/>
      <c r="K115" s="14"/>
      <c r="L115" s="14"/>
      <c r="M115" s="14"/>
      <c r="N115" s="14"/>
      <c r="O115" s="14"/>
      <c r="P115" s="14"/>
      <c r="Q115" s="14"/>
      <c r="R115" s="14"/>
      <c r="S115" s="14"/>
      <c r="T115" s="14"/>
      <c r="U115" s="14"/>
      <c r="V115" s="14"/>
      <c r="W115" s="14"/>
      <c r="X115" s="14"/>
      <c r="Y115" s="15"/>
    </row>
  </sheetData>
  <sheetProtection algorithmName="SHA-512" hashValue="5PNUL5AzLE5Mk4EaoWsqGyVvjT2R7yQDiBKJIAzjzebtFXXvN9Gejl3ki3k1QzT3qnKoQkLYq3g1M32dtP5+ew==" saltValue="Xjcze4Uvyh3Imo4h9RtTSA==" spinCount="100000" sheet="1" objects="1" scenarios="1"/>
  <mergeCells count="49">
    <mergeCell ref="U12:W12"/>
    <mergeCell ref="U16:W16"/>
    <mergeCell ref="R12:T12"/>
    <mergeCell ref="Y1:Z1"/>
    <mergeCell ref="R16:T16"/>
    <mergeCell ref="R14:T14"/>
    <mergeCell ref="U14:W14"/>
    <mergeCell ref="F10:G10"/>
    <mergeCell ref="F18:L18"/>
    <mergeCell ref="F21:L21"/>
    <mergeCell ref="F25:G25"/>
    <mergeCell ref="F12:K12"/>
    <mergeCell ref="F16:H16"/>
    <mergeCell ref="I16:L16"/>
    <mergeCell ref="F27:L27"/>
    <mergeCell ref="F34:L34"/>
    <mergeCell ref="F38:I38"/>
    <mergeCell ref="F36:L36"/>
    <mergeCell ref="T65:X65"/>
    <mergeCell ref="T63:X63"/>
    <mergeCell ref="H65:L65"/>
    <mergeCell ref="H63:L63"/>
    <mergeCell ref="F58:I58"/>
    <mergeCell ref="U49:V49"/>
    <mergeCell ref="F47:L47"/>
    <mergeCell ref="F49:L49"/>
    <mergeCell ref="F45:I45"/>
    <mergeCell ref="F40:I40"/>
    <mergeCell ref="R40:S40"/>
    <mergeCell ref="R34:X34"/>
    <mergeCell ref="R18:V18"/>
    <mergeCell ref="R20:V20"/>
    <mergeCell ref="R22:V22"/>
    <mergeCell ref="R26:V26"/>
    <mergeCell ref="R24:S24"/>
    <mergeCell ref="R36:X36"/>
    <mergeCell ref="R38:X38"/>
    <mergeCell ref="R44:V44"/>
    <mergeCell ref="R42:V42"/>
    <mergeCell ref="C99:X113"/>
    <mergeCell ref="G88:I88"/>
    <mergeCell ref="G90:I90"/>
    <mergeCell ref="G92:I92"/>
    <mergeCell ref="T67:X67"/>
    <mergeCell ref="H67:L67"/>
    <mergeCell ref="L83:W83"/>
    <mergeCell ref="F71:I71"/>
    <mergeCell ref="F83:G83"/>
    <mergeCell ref="F74:G74"/>
  </mergeCells>
  <conditionalFormatting sqref="O10">
    <cfRule type="cellIs" dxfId="61" priority="6" operator="equal">
      <formula>"Cadre collectif : Ne pas compléter les informations ci-dessous pour une certification dans un cadre Individuel."</formula>
    </cfRule>
    <cfRule type="cellIs" dxfId="60" priority="7" operator="equal">
      <formula>"Cadre collectif : Renseignez la nature de l'audit et les informations obligatoires sur la structure collective."</formula>
    </cfRule>
    <cfRule type="cellIs" dxfId="59" priority="8" operator="equal">
      <formula>"""Cadre collectif"""</formula>
    </cfRule>
  </conditionalFormatting>
  <dataValidations count="15">
    <dataValidation type="list" allowBlank="1" showInputMessage="1" showErrorMessage="1" sqref="F74:G74 F83:G83 R72 U49" xr:uid="{00000000-0002-0000-0200-000000000000}">
      <formula1>"Oui,Non"</formula1>
    </dataValidation>
    <dataValidation type="list" allowBlank="1" showInputMessage="1" showErrorMessage="1" sqref="F58:I58" xr:uid="{00000000-0002-0000-0200-000001000000}">
      <formula1>lstStatutJuridique</formula1>
    </dataValidation>
    <dataValidation type="list" allowBlank="1" showInputMessage="1" showErrorMessage="1" sqref="H65 H67 H63" xr:uid="{00000000-0002-0000-0200-000002000000}">
      <formula1>lstActivitesVegetales</formula1>
    </dataValidation>
    <dataValidation type="list" allowBlank="1" showInputMessage="1" showErrorMessage="1" sqref="T65 T67 T63" xr:uid="{00000000-0002-0000-0200-000003000000}">
      <formula1>lstActivitesAnimales</formula1>
    </dataValidation>
    <dataValidation type="date" allowBlank="1" showInputMessage="1" showErrorMessage="1" sqref="F10:G10" xr:uid="{00000000-0002-0000-0200-000004000000}">
      <formula1>367</formula1>
      <formula2>73050</formula2>
    </dataValidation>
    <dataValidation type="custom" allowBlank="1" showInputMessage="1" showErrorMessage="1" sqref="F47" xr:uid="{00000000-0002-0000-0200-000005000000}">
      <formula1>ISNUMBER(MATCH("*@*.?*",F47,0))</formula1>
    </dataValidation>
    <dataValidation type="list" allowBlank="1" showInputMessage="1" showErrorMessage="1" sqref="G88:I88 G90:I90 G92:I92" xr:uid="{00000000-0002-0000-0200-000006000000}">
      <formula1>LstAutresDemarches</formula1>
    </dataValidation>
    <dataValidation type="textLength" allowBlank="1" showInputMessage="1" showErrorMessage="1" sqref="F45" xr:uid="{00000000-0002-0000-0200-000008000000}">
      <formula1>0</formula1>
      <formula2>10</formula2>
    </dataValidation>
    <dataValidation type="textLength" operator="equal" allowBlank="1" showInputMessage="1" showErrorMessage="1" sqref="R24:S24 R40" xr:uid="{00000000-0002-0000-0200-000009000000}">
      <formula1>5</formula1>
    </dataValidation>
    <dataValidation type="custom" allowBlank="1" showInputMessage="1" showErrorMessage="1" sqref="F40:I40" xr:uid="{00000000-0002-0000-0200-00000A000000}">
      <formula1>LEN(CVI_EXPLOITATION)=10</formula1>
    </dataValidation>
    <dataValidation type="list" allowBlank="1" showInputMessage="1" showErrorMessage="1" sqref="F16" xr:uid="{00000000-0002-0000-0200-00000B000000}">
      <formula1>IF(TYPE_CERTIF="Collectif",lstTypeAuditCollectif,lstTypeAuditIndividuel)</formula1>
    </dataValidation>
    <dataValidation type="list" allowBlank="1" showInputMessage="1" showErrorMessage="1" sqref="R12:T12" xr:uid="{00000000-0002-0000-0200-00000D000000}">
      <formula1>IF(TYPE_CERTIF="Collectif",lstNatureAudit,"")</formula1>
    </dataValidation>
    <dataValidation type="list" allowBlank="1" showInputMessage="1" showErrorMessage="1" sqref="R14:T14" xr:uid="{00000000-0002-0000-0200-00000E000000}">
      <formula1>IF(GESCO_NATURE_AUDIT="Audit interne",lstLocalisationAuditInterne,"")</formula1>
    </dataValidation>
    <dataValidation type="list" allowBlank="1" showInputMessage="1" showErrorMessage="1" sqref="F25:G25" xr:uid="{00000000-0002-0000-0200-00000F000000}">
      <formula1>"2022-23,2023-24,2024-25,2025-26,2026-27,2027-28,2028-29,2029-30,2024-24,2025-25,2026-26,2027-27,2028-28,2029-29,2030-30"</formula1>
    </dataValidation>
    <dataValidation type="textLength" operator="equal" allowBlank="1" showInputMessage="1" showErrorMessage="1" sqref="F38:I38 R16:T16" xr:uid="{00000000-0002-0000-0200-000010000000}">
      <formula1>14</formula1>
    </dataValidation>
  </dataValidations>
  <pageMargins left="0.7" right="0.7" top="0.75" bottom="0.75" header="0.3" footer="0.3"/>
  <pageSetup paperSize="9" scale="36" fitToHeight="0"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11000000}">
          <x14:formula1>
            <xm:f>Listes!$O$4:$O$5</xm:f>
          </x14:formula1>
          <xm:sqref>F12:K12</xm:sqref>
        </x14:dataValidation>
        <x14:dataValidation type="list" allowBlank="1" showInputMessage="1" showErrorMessage="1" xr:uid="{00000000-0002-0000-0200-000012000000}">
          <x14:formula1>
            <xm:f>Listes!$R$4:$R$20</xm:f>
          </x14:formula1>
          <xm:sqref>F18:L18</xm:sqref>
        </x14:dataValidation>
        <x14:dataValidation type="list" allowBlank="1" showInputMessage="1" showErrorMessage="1" xr:uid="{00000000-0002-0000-0200-000013000000}">
          <x14:formula1>
            <xm:f>Listes!$AO$4:$AO$72</xm:f>
          </x14:formula1>
          <xm:sqref>L83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7" tint="0.39997558519241921"/>
    <pageSetUpPr fitToPage="1"/>
  </sheetPr>
  <dimension ref="A1:AM227"/>
  <sheetViews>
    <sheetView showGridLines="0" zoomScaleNormal="100" workbookViewId="0">
      <pane ySplit="5" topLeftCell="A6" activePane="bottomLeft" state="frozen"/>
      <selection activeCell="AA19" sqref="AA19"/>
      <selection pane="bottomLeft" activeCell="O142" sqref="O142"/>
    </sheetView>
  </sheetViews>
  <sheetFormatPr baseColWidth="10" defaultColWidth="9.109375" defaultRowHeight="14.4" x14ac:dyDescent="0.3"/>
  <cols>
    <col min="14" max="14" width="2.109375" customWidth="1"/>
    <col min="15" max="15" width="12" bestFit="1" customWidth="1"/>
    <col min="16" max="17" width="9.44140625" bestFit="1" customWidth="1"/>
    <col min="24" max="26" width="9.109375" hidden="1" customWidth="1"/>
    <col min="27" max="28" width="12.44140625" hidden="1" customWidth="1"/>
    <col min="29" max="39" width="9.109375" hidden="1" customWidth="1"/>
  </cols>
  <sheetData>
    <row r="1" spans="1:23" x14ac:dyDescent="0.3">
      <c r="A1" s="26"/>
      <c r="B1" s="26"/>
      <c r="C1" s="26"/>
      <c r="D1" s="26"/>
      <c r="E1" s="26"/>
      <c r="F1" s="26"/>
      <c r="G1" s="26"/>
      <c r="H1" s="26"/>
      <c r="I1" s="26"/>
      <c r="J1" s="26"/>
      <c r="K1" s="26"/>
      <c r="L1" s="26"/>
      <c r="M1" s="26"/>
      <c r="N1" s="26"/>
      <c r="O1" s="26"/>
      <c r="P1" s="26"/>
      <c r="Q1" s="26"/>
      <c r="R1" s="26"/>
      <c r="S1" s="26"/>
      <c r="T1" s="26"/>
      <c r="U1" s="26"/>
      <c r="V1" s="661" t="str">
        <f>Accueil!I6</f>
        <v>Version 1.15</v>
      </c>
      <c r="W1" s="661"/>
    </row>
    <row r="2" spans="1:23" x14ac:dyDescent="0.3">
      <c r="A2" s="26"/>
      <c r="B2" s="26"/>
      <c r="C2" s="26"/>
      <c r="D2" s="26"/>
      <c r="E2" s="26"/>
      <c r="F2" s="26"/>
      <c r="G2" s="26"/>
      <c r="H2" s="26"/>
      <c r="I2" s="26"/>
      <c r="J2" s="26"/>
      <c r="K2" s="26"/>
      <c r="L2" s="26"/>
      <c r="M2" s="26"/>
      <c r="N2" s="26"/>
      <c r="O2" s="26"/>
      <c r="P2" s="26"/>
      <c r="Q2" s="26"/>
      <c r="R2" s="26"/>
      <c r="S2" s="26"/>
      <c r="T2" s="26"/>
      <c r="U2" s="26"/>
      <c r="V2" s="26"/>
      <c r="W2" s="26"/>
    </row>
    <row r="3" spans="1:23" x14ac:dyDescent="0.3">
      <c r="A3" s="26"/>
      <c r="B3" s="26"/>
      <c r="C3" s="26"/>
      <c r="D3" s="26"/>
      <c r="E3" s="26"/>
      <c r="F3" s="26"/>
      <c r="G3" s="26"/>
      <c r="H3" s="26"/>
      <c r="I3" s="26"/>
      <c r="J3" s="26"/>
      <c r="K3" s="26"/>
      <c r="L3" s="26"/>
      <c r="M3" s="26"/>
      <c r="N3" s="26"/>
      <c r="O3" s="26"/>
      <c r="P3" s="26"/>
      <c r="Q3" s="26"/>
      <c r="R3" s="26"/>
      <c r="S3" s="26"/>
      <c r="T3" s="26"/>
      <c r="U3" s="26"/>
      <c r="V3" s="26"/>
      <c r="W3" s="26"/>
    </row>
    <row r="4" spans="1:23" x14ac:dyDescent="0.3">
      <c r="A4" s="26"/>
      <c r="B4" s="26"/>
      <c r="C4" s="26"/>
      <c r="D4" s="26"/>
      <c r="E4" s="26"/>
      <c r="F4" s="26"/>
      <c r="G4" s="26"/>
      <c r="H4" s="26"/>
      <c r="I4" s="26"/>
      <c r="J4" s="26"/>
      <c r="K4" s="26"/>
      <c r="L4" s="26"/>
      <c r="M4" s="26"/>
      <c r="N4" s="26"/>
      <c r="O4" s="26"/>
      <c r="P4" s="26"/>
      <c r="Q4" s="26"/>
      <c r="R4" s="26"/>
      <c r="S4" s="26"/>
      <c r="T4" s="26"/>
      <c r="U4" s="26"/>
      <c r="V4" s="26"/>
      <c r="W4" s="26"/>
    </row>
    <row r="5" spans="1:23" x14ac:dyDescent="0.3">
      <c r="A5" s="26"/>
      <c r="B5" s="26"/>
      <c r="C5" s="26"/>
      <c r="D5" s="26"/>
      <c r="E5" s="26"/>
      <c r="F5" s="26"/>
      <c r="G5" s="26"/>
      <c r="H5" s="26"/>
      <c r="I5" s="26"/>
      <c r="J5" s="26"/>
      <c r="K5" s="26"/>
      <c r="L5" s="26"/>
      <c r="M5" s="26"/>
      <c r="N5" s="26"/>
      <c r="O5" s="26"/>
      <c r="P5" s="26"/>
      <c r="Q5" s="26"/>
      <c r="R5" s="26"/>
      <c r="S5" s="26"/>
      <c r="T5" s="26"/>
      <c r="U5" s="26"/>
      <c r="V5" s="26"/>
      <c r="W5" s="26"/>
    </row>
    <row r="6" spans="1:23" ht="15" thickBot="1" x14ac:dyDescent="0.35"/>
    <row r="7" spans="1:23" x14ac:dyDescent="0.3">
      <c r="B7" s="317"/>
      <c r="C7" s="318"/>
      <c r="D7" s="318"/>
      <c r="E7" s="318"/>
      <c r="F7" s="318"/>
      <c r="G7" s="318"/>
      <c r="H7" s="318"/>
      <c r="I7" s="318"/>
      <c r="J7" s="318"/>
      <c r="K7" s="318"/>
      <c r="L7" s="318"/>
      <c r="M7" s="318"/>
      <c r="N7" s="318"/>
      <c r="O7" s="318"/>
      <c r="P7" s="318"/>
      <c r="Q7" s="318"/>
      <c r="R7" s="318"/>
      <c r="S7" s="318"/>
      <c r="T7" s="319"/>
    </row>
    <row r="8" spans="1:23" x14ac:dyDescent="0.3">
      <c r="B8" s="320"/>
      <c r="T8" s="321"/>
    </row>
    <row r="9" spans="1:23" x14ac:dyDescent="0.3">
      <c r="B9" s="320"/>
      <c r="C9" s="118" t="str">
        <f>"Toutes les données de surface de la campagne évaluée " &amp; TEXT(cCampagneN,"0000-00") &amp; " doivent être saisies obligatoirement."</f>
        <v>Toutes les données de surface de la campagne évaluée N doivent être saisies obligatoirement.</v>
      </c>
      <c r="T9" s="321"/>
    </row>
    <row r="10" spans="1:23" x14ac:dyDescent="0.3">
      <c r="B10" s="320"/>
      <c r="C10" s="118"/>
      <c r="T10" s="321"/>
    </row>
    <row r="11" spans="1:23" ht="39.75" customHeight="1" x14ac:dyDescent="0.3">
      <c r="B11" s="320"/>
      <c r="C11" s="650" t="s">
        <v>3200</v>
      </c>
      <c r="D11" s="650"/>
      <c r="E11" s="650"/>
      <c r="F11" s="650"/>
      <c r="G11" s="650"/>
      <c r="H11" s="650"/>
      <c r="I11" s="650"/>
      <c r="J11" s="650"/>
      <c r="K11" s="650"/>
      <c r="L11" s="650"/>
      <c r="M11" s="650"/>
      <c r="N11" s="650"/>
      <c r="O11" s="650"/>
      <c r="P11" s="650"/>
      <c r="Q11" s="650"/>
      <c r="R11" s="650"/>
      <c r="S11" s="650"/>
      <c r="T11" s="321"/>
    </row>
    <row r="12" spans="1:23" x14ac:dyDescent="0.3">
      <c r="B12" s="320"/>
      <c r="C12" s="42" t="str">
        <f>"SNE / SNA / ZDH / marais salants : il n’est pas obligatoire de saisir les données des campagnes " &amp;cCampagneN1 &amp; " et " &amp; CCampagneN2 &amp; "."</f>
        <v>SNE / SNA / ZDH / marais salants : il n’est pas obligatoire de saisir les données des campagnes N-1 et N-2.</v>
      </c>
      <c r="T12" s="321"/>
    </row>
    <row r="13" spans="1:23" x14ac:dyDescent="0.3">
      <c r="B13" s="320"/>
      <c r="T13" s="321"/>
    </row>
    <row r="14" spans="1:23" ht="15" customHeight="1" x14ac:dyDescent="0.3">
      <c r="B14" s="320"/>
      <c r="C14" s="650" t="str">
        <f>"Annexe Horticulture et pépinières : les données sont reprises de l'onglet Surfaces_Horti. En audit de suivi, il est obligatoire de saisir les données de la campagne " &amp; cCampagneN1 &amp; ". 
À partir du 2e audit de suivi en gestion collective ou de l’audit de renouvellement en gestion individuelle, il est obligatoire de saisir en plus les données de la campagne " &amp; CCampagneN2 &amp; "."</f>
        <v>Annexe Horticulture et pépinières : les données sont reprises de l'onglet Surfaces_Horti. En audit de suivi, il est obligatoire de saisir les données de la campagne N-1. 
À partir du 2e audit de suivi en gestion collective ou de l’audit de renouvellement en gestion individuelle, il est obligatoire de saisir en plus les données de la campagne N-2.</v>
      </c>
      <c r="D14" s="650"/>
      <c r="E14" s="650"/>
      <c r="F14" s="650"/>
      <c r="G14" s="650"/>
      <c r="H14" s="650"/>
      <c r="I14" s="650"/>
      <c r="J14" s="650"/>
      <c r="K14" s="650"/>
      <c r="L14" s="650"/>
      <c r="M14" s="650"/>
      <c r="N14" s="650"/>
      <c r="O14" s="650"/>
      <c r="P14" s="650"/>
      <c r="Q14" s="650"/>
      <c r="R14" s="650"/>
      <c r="S14" s="650"/>
      <c r="T14" s="651"/>
    </row>
    <row r="15" spans="1:23" ht="15" customHeight="1" x14ac:dyDescent="0.3">
      <c r="B15" s="320"/>
      <c r="C15" s="650"/>
      <c r="D15" s="650"/>
      <c r="E15" s="650"/>
      <c r="F15" s="650"/>
      <c r="G15" s="650"/>
      <c r="H15" s="650"/>
      <c r="I15" s="650"/>
      <c r="J15" s="650"/>
      <c r="K15" s="650"/>
      <c r="L15" s="650"/>
      <c r="M15" s="650"/>
      <c r="N15" s="650"/>
      <c r="O15" s="650"/>
      <c r="P15" s="650"/>
      <c r="Q15" s="650"/>
      <c r="R15" s="650"/>
      <c r="S15" s="650"/>
      <c r="T15" s="651"/>
    </row>
    <row r="16" spans="1:23" ht="15" thickBot="1" x14ac:dyDescent="0.35">
      <c r="B16" s="322"/>
      <c r="C16" s="323"/>
      <c r="D16" s="323"/>
      <c r="E16" s="323"/>
      <c r="F16" s="323"/>
      <c r="G16" s="323"/>
      <c r="H16" s="323"/>
      <c r="I16" s="323"/>
      <c r="J16" s="323"/>
      <c r="K16" s="323"/>
      <c r="L16" s="323"/>
      <c r="M16" s="323"/>
      <c r="N16" s="323"/>
      <c r="O16" s="323"/>
      <c r="P16" s="323"/>
      <c r="Q16" s="323"/>
      <c r="R16" s="323"/>
      <c r="S16" s="323"/>
      <c r="T16" s="324"/>
    </row>
    <row r="19" spans="2:21" ht="15" thickBot="1" x14ac:dyDescent="0.35"/>
    <row r="20" spans="2:21" x14ac:dyDescent="0.3">
      <c r="B20" s="16"/>
      <c r="C20" s="17"/>
      <c r="D20" s="17"/>
      <c r="E20" s="17"/>
      <c r="F20" s="17"/>
      <c r="G20" s="17"/>
      <c r="H20" s="17"/>
      <c r="I20" s="17"/>
      <c r="J20" s="17"/>
      <c r="K20" s="17"/>
      <c r="L20" s="17"/>
      <c r="M20" s="17"/>
      <c r="N20" s="17"/>
      <c r="O20" s="46"/>
      <c r="P20" s="46"/>
      <c r="Q20" s="17"/>
      <c r="R20" s="17"/>
      <c r="S20" s="17"/>
      <c r="T20" s="18"/>
    </row>
    <row r="21" spans="2:21" ht="26.25" customHeight="1" x14ac:dyDescent="0.3">
      <c r="B21" s="19"/>
      <c r="O21" s="673" t="s">
        <v>703</v>
      </c>
      <c r="P21" s="673"/>
      <c r="Q21" s="673"/>
      <c r="T21" s="20"/>
    </row>
    <row r="22" spans="2:21" x14ac:dyDescent="0.3">
      <c r="B22" s="19"/>
      <c r="J22" s="141"/>
      <c r="O22" s="41" t="str">
        <f>TEXT(cCampagneN,"0000-00")</f>
        <v>N</v>
      </c>
      <c r="P22" s="41" t="str">
        <f>cCampagneN1</f>
        <v>N-1</v>
      </c>
      <c r="Q22" s="41" t="str">
        <f>CCampagneN2</f>
        <v>N-2</v>
      </c>
      <c r="T22" s="20"/>
    </row>
    <row r="23" spans="2:21" x14ac:dyDescent="0.3">
      <c r="B23" s="19"/>
      <c r="C23" s="664" t="s">
        <v>82</v>
      </c>
      <c r="D23" s="664"/>
      <c r="E23" s="664"/>
      <c r="F23" s="664"/>
      <c r="G23" s="664"/>
      <c r="H23" s="664"/>
      <c r="I23" s="664"/>
      <c r="J23" s="664"/>
      <c r="K23" s="664"/>
      <c r="L23" s="664"/>
      <c r="M23" s="664"/>
      <c r="N23" s="45"/>
      <c r="O23" s="521">
        <f>IFERROR(O25+O27+O52+O58+O60,0)</f>
        <v>0</v>
      </c>
      <c r="P23" s="521">
        <f>IFERROR(P25+P27+P52+P58+P60,0)</f>
        <v>0</v>
      </c>
      <c r="Q23" s="521">
        <f>IFERROR(Q25+Q27+Q52+Q58+Q60,0)</f>
        <v>0</v>
      </c>
      <c r="T23" s="20"/>
    </row>
    <row r="24" spans="2:21" ht="6.75" customHeight="1" x14ac:dyDescent="0.3">
      <c r="B24" s="19"/>
      <c r="C24" s="38"/>
      <c r="D24" s="38"/>
      <c r="E24" s="38"/>
      <c r="F24" s="38"/>
      <c r="G24" s="38"/>
      <c r="H24" s="38"/>
      <c r="I24" s="38"/>
      <c r="J24" s="38"/>
      <c r="K24" s="38"/>
      <c r="L24" s="38"/>
      <c r="M24" s="38"/>
      <c r="O24" s="522"/>
      <c r="P24" s="522"/>
      <c r="Q24" s="522"/>
      <c r="T24" s="20"/>
    </row>
    <row r="25" spans="2:21" x14ac:dyDescent="0.3">
      <c r="B25" s="19"/>
      <c r="C25" s="664" t="s">
        <v>68</v>
      </c>
      <c r="D25" s="664"/>
      <c r="E25" s="664"/>
      <c r="F25" s="664"/>
      <c r="G25" s="664"/>
      <c r="H25" s="664"/>
      <c r="I25" s="664"/>
      <c r="J25" s="664"/>
      <c r="K25" s="664"/>
      <c r="L25" s="664"/>
      <c r="M25" s="664"/>
      <c r="N25" s="45"/>
      <c r="O25" s="521">
        <f>IFERROR(O165,0)</f>
        <v>0</v>
      </c>
      <c r="P25" s="521">
        <f>IFERROR(P165,0)</f>
        <v>0</v>
      </c>
      <c r="Q25" s="521">
        <f>IFERROR(Q165,0)</f>
        <v>0</v>
      </c>
      <c r="T25" s="20"/>
      <c r="U25" s="118" t="str">
        <f>IF(cSAU=0,"La SAU de la campagne "&amp;cCampagneN &amp;" ne doit pas être égale à 0.","")</f>
        <v>La SAU de la campagne N ne doit pas être égale à 0.</v>
      </c>
    </row>
    <row r="26" spans="2:21" ht="6.75" customHeight="1" x14ac:dyDescent="0.3">
      <c r="B26" s="19"/>
      <c r="C26" s="38"/>
      <c r="D26" s="38"/>
      <c r="E26" s="38"/>
      <c r="F26" s="38"/>
      <c r="G26" s="38"/>
      <c r="H26" s="38"/>
      <c r="I26" s="38"/>
      <c r="J26" s="38"/>
      <c r="K26" s="38"/>
      <c r="L26" s="38"/>
      <c r="M26" s="38"/>
      <c r="O26" s="522"/>
      <c r="P26" s="522"/>
      <c r="Q26" s="522"/>
      <c r="T26" s="20"/>
    </row>
    <row r="27" spans="2:21" x14ac:dyDescent="0.3">
      <c r="B27" s="19"/>
      <c r="C27" s="664" t="s">
        <v>69</v>
      </c>
      <c r="D27" s="664"/>
      <c r="E27" s="664"/>
      <c r="F27" s="664"/>
      <c r="G27" s="664"/>
      <c r="H27" s="664"/>
      <c r="I27" s="664"/>
      <c r="J27" s="664"/>
      <c r="K27" s="664"/>
      <c r="L27" s="664"/>
      <c r="M27" s="664"/>
      <c r="N27" s="45"/>
      <c r="O27" s="521">
        <f>SUM(O29:O34,O37:O43,O46:O48,O50)</f>
        <v>0</v>
      </c>
      <c r="P27" s="521">
        <f>SUM(P29:P34,P37:P43,P46:P48,P50)</f>
        <v>0</v>
      </c>
      <c r="Q27" s="521">
        <f>SUM(Q29:Q34,Q37:Q43,Q46:Q48,Q50)</f>
        <v>0</v>
      </c>
      <c r="T27" s="20"/>
    </row>
    <row r="28" spans="2:21" ht="6.75" customHeight="1" x14ac:dyDescent="0.3">
      <c r="B28" s="19"/>
      <c r="C28" s="38"/>
      <c r="D28" s="38"/>
      <c r="E28" s="38"/>
      <c r="F28" s="38"/>
      <c r="G28" s="38"/>
      <c r="H28" s="38"/>
      <c r="I28" s="38"/>
      <c r="J28" s="38"/>
      <c r="K28" s="38"/>
      <c r="L28" s="38"/>
      <c r="M28" s="38"/>
      <c r="O28" s="522"/>
      <c r="P28" s="522"/>
      <c r="Q28" s="522"/>
      <c r="T28" s="20"/>
    </row>
    <row r="29" spans="2:21" x14ac:dyDescent="0.3">
      <c r="B29" s="19"/>
      <c r="C29" s="47" t="s">
        <v>70</v>
      </c>
      <c r="D29" s="47"/>
      <c r="E29" s="47"/>
      <c r="F29" s="47"/>
      <c r="G29" s="47"/>
      <c r="H29" s="47"/>
      <c r="I29" s="47"/>
      <c r="J29" s="47"/>
      <c r="K29" s="47"/>
      <c r="L29" s="47"/>
      <c r="M29" s="47"/>
      <c r="N29" s="43"/>
      <c r="O29" s="523"/>
      <c r="P29" s="523"/>
      <c r="Q29" s="523"/>
      <c r="T29" s="20"/>
    </row>
    <row r="30" spans="2:21" x14ac:dyDescent="0.3">
      <c r="B30" s="19"/>
      <c r="C30" s="48" t="s">
        <v>94</v>
      </c>
      <c r="D30" s="48"/>
      <c r="E30" s="48"/>
      <c r="F30" s="48"/>
      <c r="G30" s="48"/>
      <c r="H30" s="48"/>
      <c r="I30" s="48"/>
      <c r="J30" s="48"/>
      <c r="K30" s="48"/>
      <c r="L30" s="48"/>
      <c r="M30" s="48"/>
      <c r="N30" s="44"/>
      <c r="O30" s="523"/>
      <c r="P30" s="523"/>
      <c r="Q30" s="523"/>
      <c r="T30" s="20"/>
    </row>
    <row r="31" spans="2:21" x14ac:dyDescent="0.3">
      <c r="B31" s="19"/>
      <c r="C31" s="48" t="s">
        <v>71</v>
      </c>
      <c r="D31" s="48"/>
      <c r="E31" s="48"/>
      <c r="F31" s="48"/>
      <c r="G31" s="48"/>
      <c r="H31" s="48"/>
      <c r="I31" s="48"/>
      <c r="J31" s="48"/>
      <c r="K31" s="48"/>
      <c r="L31" s="48"/>
      <c r="M31" s="48"/>
      <c r="N31" s="44"/>
      <c r="O31" s="523"/>
      <c r="P31" s="523"/>
      <c r="Q31" s="523"/>
      <c r="T31" s="20"/>
    </row>
    <row r="32" spans="2:21" x14ac:dyDescent="0.3">
      <c r="B32" s="19"/>
      <c r="C32" s="48" t="s">
        <v>72</v>
      </c>
      <c r="D32" s="48"/>
      <c r="E32" s="48"/>
      <c r="F32" s="48"/>
      <c r="G32" s="48"/>
      <c r="H32" s="48"/>
      <c r="I32" s="48"/>
      <c r="J32" s="48"/>
      <c r="K32" s="48"/>
      <c r="L32" s="48"/>
      <c r="M32" s="48"/>
      <c r="N32" s="44"/>
      <c r="O32" s="523"/>
      <c r="P32" s="523"/>
      <c r="Q32" s="523"/>
      <c r="T32" s="20"/>
    </row>
    <row r="33" spans="2:20" x14ac:dyDescent="0.3">
      <c r="B33" s="19"/>
      <c r="C33" s="48" t="s">
        <v>73</v>
      </c>
      <c r="D33" s="48"/>
      <c r="E33" s="48"/>
      <c r="F33" s="48"/>
      <c r="G33" s="48"/>
      <c r="H33" s="48"/>
      <c r="I33" s="48"/>
      <c r="J33" s="48"/>
      <c r="K33" s="48"/>
      <c r="L33" s="48"/>
      <c r="M33" s="48"/>
      <c r="N33" s="44"/>
      <c r="O33" s="523"/>
      <c r="P33" s="523"/>
      <c r="Q33" s="523"/>
      <c r="T33" s="20"/>
    </row>
    <row r="34" spans="2:20" x14ac:dyDescent="0.3">
      <c r="B34" s="19"/>
      <c r="C34" s="48" t="s">
        <v>74</v>
      </c>
      <c r="D34" s="48"/>
      <c r="E34" s="48"/>
      <c r="F34" s="48"/>
      <c r="G34" s="48"/>
      <c r="H34" s="48"/>
      <c r="I34" s="48"/>
      <c r="J34" s="48"/>
      <c r="K34" s="48"/>
      <c r="L34" s="48"/>
      <c r="M34" s="48"/>
      <c r="N34" s="44"/>
      <c r="O34" s="523"/>
      <c r="P34" s="523"/>
      <c r="Q34" s="523"/>
      <c r="T34" s="20"/>
    </row>
    <row r="35" spans="2:20" ht="6.75" customHeight="1" x14ac:dyDescent="0.3">
      <c r="B35" s="19"/>
      <c r="O35" s="522"/>
      <c r="P35" s="522"/>
      <c r="Q35" s="522"/>
      <c r="T35" s="20"/>
    </row>
    <row r="36" spans="2:20" x14ac:dyDescent="0.3">
      <c r="B36" s="19"/>
      <c r="C36" s="666" t="s">
        <v>75</v>
      </c>
      <c r="D36" s="666"/>
      <c r="E36" s="666"/>
      <c r="F36" s="666"/>
      <c r="G36" s="666"/>
      <c r="H36" s="666"/>
      <c r="I36" s="666"/>
      <c r="J36" s="666"/>
      <c r="K36" s="666"/>
      <c r="L36" s="666"/>
      <c r="M36" s="666"/>
      <c r="O36" s="522"/>
      <c r="P36" s="522"/>
      <c r="Q36" s="522"/>
      <c r="T36" s="20"/>
    </row>
    <row r="37" spans="2:20" x14ac:dyDescent="0.3">
      <c r="B37" s="19"/>
      <c r="C37" s="47" t="s">
        <v>2281</v>
      </c>
      <c r="D37" s="47"/>
      <c r="E37" s="47"/>
      <c r="F37" s="47"/>
      <c r="G37" s="47"/>
      <c r="H37" s="47"/>
      <c r="I37" s="47"/>
      <c r="J37" s="47"/>
      <c r="K37" s="47"/>
      <c r="L37" s="47"/>
      <c r="M37" s="47"/>
      <c r="N37" s="43"/>
      <c r="O37" s="523"/>
      <c r="P37" s="523"/>
      <c r="Q37" s="523"/>
      <c r="T37" s="20"/>
    </row>
    <row r="38" spans="2:20" x14ac:dyDescent="0.3">
      <c r="B38" s="19"/>
      <c r="C38" s="48" t="s">
        <v>83</v>
      </c>
      <c r="D38" s="48"/>
      <c r="E38" s="48"/>
      <c r="F38" s="48"/>
      <c r="G38" s="48"/>
      <c r="H38" s="48"/>
      <c r="I38" s="48"/>
      <c r="J38" s="48"/>
      <c r="K38" s="48"/>
      <c r="L38" s="48"/>
      <c r="M38" s="48"/>
      <c r="N38" s="44"/>
      <c r="O38" s="523"/>
      <c r="P38" s="523"/>
      <c r="Q38" s="523"/>
      <c r="T38" s="20"/>
    </row>
    <row r="39" spans="2:20" x14ac:dyDescent="0.3">
      <c r="B39" s="19"/>
      <c r="C39" s="48" t="s">
        <v>84</v>
      </c>
      <c r="D39" s="48"/>
      <c r="E39" s="48"/>
      <c r="F39" s="48"/>
      <c r="G39" s="48"/>
      <c r="H39" s="48"/>
      <c r="I39" s="48"/>
      <c r="J39" s="48"/>
      <c r="K39" s="48"/>
      <c r="L39" s="48"/>
      <c r="M39" s="48"/>
      <c r="N39" s="44"/>
      <c r="O39" s="523"/>
      <c r="P39" s="523"/>
      <c r="Q39" s="523"/>
      <c r="T39" s="20"/>
    </row>
    <row r="40" spans="2:20" x14ac:dyDescent="0.3">
      <c r="B40" s="19"/>
      <c r="C40" s="48" t="s">
        <v>85</v>
      </c>
      <c r="D40" s="48"/>
      <c r="E40" s="48"/>
      <c r="F40" s="48"/>
      <c r="G40" s="48"/>
      <c r="H40" s="48"/>
      <c r="I40" s="48"/>
      <c r="J40" s="48"/>
      <c r="K40" s="48"/>
      <c r="L40" s="48"/>
      <c r="M40" s="48"/>
      <c r="N40" s="44"/>
      <c r="O40" s="523"/>
      <c r="P40" s="523"/>
      <c r="Q40" s="523"/>
      <c r="T40" s="20"/>
    </row>
    <row r="41" spans="2:20" x14ac:dyDescent="0.3">
      <c r="B41" s="19"/>
      <c r="C41" s="48" t="s">
        <v>86</v>
      </c>
      <c r="D41" s="48"/>
      <c r="E41" s="48"/>
      <c r="F41" s="48"/>
      <c r="G41" s="48"/>
      <c r="H41" s="48"/>
      <c r="I41" s="48"/>
      <c r="J41" s="48"/>
      <c r="K41" s="48"/>
      <c r="L41" s="48"/>
      <c r="M41" s="48"/>
      <c r="N41" s="44"/>
      <c r="O41" s="523"/>
      <c r="P41" s="523"/>
      <c r="Q41" s="523"/>
      <c r="T41" s="20"/>
    </row>
    <row r="42" spans="2:20" x14ac:dyDescent="0.3">
      <c r="B42" s="19"/>
      <c r="C42" s="48" t="s">
        <v>87</v>
      </c>
      <c r="D42" s="48"/>
      <c r="E42" s="48"/>
      <c r="F42" s="48"/>
      <c r="G42" s="48"/>
      <c r="H42" s="48"/>
      <c r="I42" s="48"/>
      <c r="J42" s="48"/>
      <c r="K42" s="48"/>
      <c r="L42" s="48"/>
      <c r="M42" s="48"/>
      <c r="N42" s="44"/>
      <c r="O42" s="523"/>
      <c r="P42" s="523"/>
      <c r="Q42" s="523"/>
      <c r="T42" s="20"/>
    </row>
    <row r="43" spans="2:20" x14ac:dyDescent="0.3">
      <c r="B43" s="19"/>
      <c r="C43" s="48" t="s">
        <v>2282</v>
      </c>
      <c r="D43" s="48"/>
      <c r="E43" s="48"/>
      <c r="F43" s="48"/>
      <c r="G43" s="48"/>
      <c r="H43" s="48"/>
      <c r="I43" s="48"/>
      <c r="J43" s="48"/>
      <c r="K43" s="48"/>
      <c r="L43" s="48"/>
      <c r="M43" s="48"/>
      <c r="N43" s="44"/>
      <c r="O43" s="523"/>
      <c r="P43" s="523"/>
      <c r="Q43" s="523"/>
      <c r="T43" s="20"/>
    </row>
    <row r="44" spans="2:20" x14ac:dyDescent="0.3">
      <c r="B44" s="19"/>
      <c r="O44" s="522"/>
      <c r="P44" s="522"/>
      <c r="Q44" s="522"/>
      <c r="T44" s="20"/>
    </row>
    <row r="45" spans="2:20" ht="31.5" customHeight="1" x14ac:dyDescent="0.3">
      <c r="B45" s="19"/>
      <c r="C45" s="665" t="s">
        <v>76</v>
      </c>
      <c r="D45" s="665"/>
      <c r="E45" s="665"/>
      <c r="F45" s="665"/>
      <c r="G45" s="665"/>
      <c r="H45" s="665"/>
      <c r="I45" s="665"/>
      <c r="J45" s="665"/>
      <c r="K45" s="665"/>
      <c r="L45" s="665"/>
      <c r="M45" s="665"/>
      <c r="O45" s="522"/>
      <c r="P45" s="522"/>
      <c r="Q45" s="522"/>
      <c r="T45" s="20"/>
    </row>
    <row r="46" spans="2:20" x14ac:dyDescent="0.3">
      <c r="B46" s="19"/>
      <c r="C46" s="47" t="s">
        <v>88</v>
      </c>
      <c r="D46" s="47"/>
      <c r="E46" s="47"/>
      <c r="F46" s="47"/>
      <c r="G46" s="47"/>
      <c r="H46" s="47"/>
      <c r="I46" s="47"/>
      <c r="J46" s="47"/>
      <c r="K46" s="47"/>
      <c r="L46" s="47"/>
      <c r="M46" s="47"/>
      <c r="N46" s="43"/>
      <c r="O46" s="523"/>
      <c r="P46" s="523"/>
      <c r="Q46" s="523"/>
      <c r="T46" s="20"/>
    </row>
    <row r="47" spans="2:20" x14ac:dyDescent="0.3">
      <c r="B47" s="19"/>
      <c r="C47" s="47" t="s">
        <v>89</v>
      </c>
      <c r="D47" s="47"/>
      <c r="E47" s="47"/>
      <c r="F47" s="47"/>
      <c r="G47" s="47"/>
      <c r="H47" s="47"/>
      <c r="I47" s="47"/>
      <c r="J47" s="47"/>
      <c r="K47" s="47"/>
      <c r="L47" s="47"/>
      <c r="M47" s="47"/>
      <c r="N47" s="43"/>
      <c r="O47" s="523"/>
      <c r="P47" s="523"/>
      <c r="Q47" s="523"/>
      <c r="T47" s="20"/>
    </row>
    <row r="48" spans="2:20" x14ac:dyDescent="0.3">
      <c r="B48" s="19"/>
      <c r="C48" s="47" t="s">
        <v>90</v>
      </c>
      <c r="D48" s="47"/>
      <c r="E48" s="47"/>
      <c r="F48" s="47"/>
      <c r="G48" s="47"/>
      <c r="H48" s="47"/>
      <c r="I48" s="47"/>
      <c r="J48" s="47"/>
      <c r="K48" s="47"/>
      <c r="L48" s="47"/>
      <c r="M48" s="47"/>
      <c r="N48" s="43"/>
      <c r="O48" s="523"/>
      <c r="P48" s="523"/>
      <c r="Q48" s="523"/>
      <c r="T48" s="20"/>
    </row>
    <row r="49" spans="2:20" x14ac:dyDescent="0.3">
      <c r="B49" s="19"/>
      <c r="O49" s="522"/>
      <c r="P49" s="522"/>
      <c r="Q49" s="522"/>
      <c r="T49" s="20"/>
    </row>
    <row r="50" spans="2:20" ht="34.5" customHeight="1" x14ac:dyDescent="0.3">
      <c r="B50" s="19"/>
      <c r="C50" s="665" t="s">
        <v>77</v>
      </c>
      <c r="D50" s="665"/>
      <c r="E50" s="665"/>
      <c r="F50" s="665"/>
      <c r="G50" s="665"/>
      <c r="H50" s="665"/>
      <c r="I50" s="665"/>
      <c r="J50" s="665"/>
      <c r="K50" s="665"/>
      <c r="L50" s="665"/>
      <c r="M50" s="665"/>
      <c r="O50" s="523"/>
      <c r="P50" s="523"/>
      <c r="Q50" s="523"/>
      <c r="T50" s="20"/>
    </row>
    <row r="51" spans="2:20" ht="6.75" customHeight="1" x14ac:dyDescent="0.3">
      <c r="B51" s="19"/>
      <c r="O51" s="522"/>
      <c r="P51" s="522"/>
      <c r="Q51" s="522"/>
      <c r="T51" s="20"/>
    </row>
    <row r="52" spans="2:20" x14ac:dyDescent="0.3">
      <c r="B52" s="19"/>
      <c r="C52" s="39" t="s">
        <v>78</v>
      </c>
      <c r="D52" s="40"/>
      <c r="E52" s="40"/>
      <c r="F52" s="40"/>
      <c r="G52" s="40"/>
      <c r="H52" s="40"/>
      <c r="I52" s="40"/>
      <c r="J52" s="40"/>
      <c r="K52" s="40"/>
      <c r="L52" s="40"/>
      <c r="M52" s="40"/>
      <c r="O52" s="521">
        <f>SUM(O54:O56)</f>
        <v>0</v>
      </c>
      <c r="P52" s="521">
        <f>SUM(P54:P56)</f>
        <v>0</v>
      </c>
      <c r="Q52" s="521">
        <f>SUM(Q54:Q56)</f>
        <v>0</v>
      </c>
      <c r="T52" s="20"/>
    </row>
    <row r="53" spans="2:20" ht="6.75" customHeight="1" x14ac:dyDescent="0.3">
      <c r="B53" s="19"/>
      <c r="O53" s="522"/>
      <c r="P53" s="522"/>
      <c r="Q53" s="522"/>
      <c r="T53" s="20"/>
    </row>
    <row r="54" spans="2:20" x14ac:dyDescent="0.3">
      <c r="B54" s="19"/>
      <c r="C54" s="47" t="s">
        <v>79</v>
      </c>
      <c r="D54" s="47"/>
      <c r="E54" s="47"/>
      <c r="F54" s="47"/>
      <c r="G54" s="47"/>
      <c r="H54" s="47"/>
      <c r="I54" s="47"/>
      <c r="J54" s="47"/>
      <c r="K54" s="47"/>
      <c r="L54" s="47"/>
      <c r="M54" s="47"/>
      <c r="N54" s="47"/>
      <c r="O54" s="523"/>
      <c r="P54" s="523"/>
      <c r="Q54" s="523"/>
      <c r="T54" s="20"/>
    </row>
    <row r="55" spans="2:20" x14ac:dyDescent="0.3">
      <c r="B55" s="19"/>
      <c r="C55" s="48" t="s">
        <v>3230</v>
      </c>
      <c r="D55" s="48"/>
      <c r="E55" s="48"/>
      <c r="F55" s="48"/>
      <c r="G55" s="48"/>
      <c r="H55" s="48"/>
      <c r="I55" s="48"/>
      <c r="J55" s="48"/>
      <c r="K55" s="48"/>
      <c r="L55" s="48"/>
      <c r="M55" s="48"/>
      <c r="N55" s="48"/>
      <c r="O55" s="523"/>
      <c r="P55" s="523"/>
      <c r="Q55" s="523"/>
      <c r="T55" s="20"/>
    </row>
    <row r="56" spans="2:20" x14ac:dyDescent="0.3">
      <c r="B56" s="19"/>
      <c r="C56" s="48" t="s">
        <v>80</v>
      </c>
      <c r="D56" s="48"/>
      <c r="E56" s="48"/>
      <c r="F56" s="48"/>
      <c r="G56" s="48"/>
      <c r="H56" s="48"/>
      <c r="I56" s="48"/>
      <c r="J56" s="48"/>
      <c r="K56" s="48"/>
      <c r="L56" s="48"/>
      <c r="M56" s="48"/>
      <c r="N56" s="48"/>
      <c r="O56" s="523"/>
      <c r="P56" s="523"/>
      <c r="Q56" s="523"/>
      <c r="T56" s="20"/>
    </row>
    <row r="57" spans="2:20" ht="6.75" customHeight="1" x14ac:dyDescent="0.3">
      <c r="B57" s="19"/>
      <c r="O57" s="522"/>
      <c r="P57" s="522"/>
      <c r="Q57" s="522"/>
      <c r="T57" s="20"/>
    </row>
    <row r="58" spans="2:20" x14ac:dyDescent="0.3">
      <c r="B58" s="19"/>
      <c r="C58" s="39" t="s">
        <v>81</v>
      </c>
      <c r="D58" s="40"/>
      <c r="E58" s="40"/>
      <c r="F58" s="40"/>
      <c r="G58" s="40"/>
      <c r="H58" s="40"/>
      <c r="I58" s="40"/>
      <c r="J58" s="40"/>
      <c r="K58" s="40"/>
      <c r="L58" s="40"/>
      <c r="M58" s="40"/>
      <c r="N58" s="45"/>
      <c r="O58" s="523"/>
      <c r="P58" s="523"/>
      <c r="Q58" s="523"/>
      <c r="T58" s="20"/>
    </row>
    <row r="59" spans="2:20" ht="6.75" customHeight="1" x14ac:dyDescent="0.3">
      <c r="B59" s="19"/>
      <c r="C59" s="42"/>
      <c r="O59" s="522"/>
      <c r="P59" s="522"/>
      <c r="Q59" s="522"/>
      <c r="T59" s="20"/>
    </row>
    <row r="60" spans="2:20" x14ac:dyDescent="0.3">
      <c r="B60" s="19"/>
      <c r="C60" s="39" t="s">
        <v>96</v>
      </c>
      <c r="D60" s="40"/>
      <c r="E60" s="40"/>
      <c r="F60" s="40"/>
      <c r="G60" s="40"/>
      <c r="H60" s="40"/>
      <c r="I60" s="40"/>
      <c r="J60" s="40"/>
      <c r="K60" s="40"/>
      <c r="L60" s="40"/>
      <c r="M60" s="40"/>
      <c r="N60" s="45"/>
      <c r="O60" s="523"/>
      <c r="P60" s="523"/>
      <c r="Q60" s="523"/>
      <c r="T60" s="20"/>
    </row>
    <row r="61" spans="2:20" x14ac:dyDescent="0.3">
      <c r="B61" s="19"/>
      <c r="T61" s="20"/>
    </row>
    <row r="62" spans="2:20" ht="15" thickBot="1" x14ac:dyDescent="0.35">
      <c r="B62" s="22"/>
      <c r="C62" s="23"/>
      <c r="D62" s="23"/>
      <c r="E62" s="23"/>
      <c r="F62" s="23"/>
      <c r="G62" s="23"/>
      <c r="H62" s="23"/>
      <c r="I62" s="23"/>
      <c r="J62" s="23"/>
      <c r="K62" s="23"/>
      <c r="L62" s="23"/>
      <c r="M62" s="23"/>
      <c r="N62" s="23"/>
      <c r="O62" s="23"/>
      <c r="P62" s="23"/>
      <c r="Q62" s="23"/>
      <c r="R62" s="23"/>
      <c r="S62" s="23"/>
      <c r="T62" s="24"/>
    </row>
    <row r="64" spans="2:20" x14ac:dyDescent="0.3">
      <c r="C64" s="121" t="s">
        <v>2533</v>
      </c>
      <c r="D64" s="122" t="s">
        <v>95</v>
      </c>
      <c r="E64" s="123"/>
      <c r="F64" s="123"/>
      <c r="G64" s="123"/>
      <c r="H64" s="123"/>
      <c r="I64" s="123"/>
      <c r="J64" s="123"/>
      <c r="K64" s="123"/>
      <c r="L64" s="123"/>
      <c r="M64" s="123"/>
      <c r="N64" s="123"/>
      <c r="O64" s="123"/>
      <c r="P64" s="123"/>
      <c r="Q64" s="147"/>
    </row>
    <row r="65" spans="2:20" x14ac:dyDescent="0.3">
      <c r="C65" s="124" t="s">
        <v>2535</v>
      </c>
      <c r="Q65" s="145"/>
    </row>
    <row r="66" spans="2:20" x14ac:dyDescent="0.3">
      <c r="C66" s="124" t="s">
        <v>2536</v>
      </c>
      <c r="Q66" s="145"/>
    </row>
    <row r="67" spans="2:20" x14ac:dyDescent="0.3">
      <c r="C67" s="124" t="s">
        <v>2537</v>
      </c>
      <c r="Q67" s="145"/>
    </row>
    <row r="68" spans="2:20" x14ac:dyDescent="0.3">
      <c r="C68" s="125" t="s">
        <v>2534</v>
      </c>
      <c r="D68" s="126"/>
      <c r="E68" s="126"/>
      <c r="F68" s="126"/>
      <c r="G68" s="126"/>
      <c r="H68" s="126"/>
      <c r="I68" s="126"/>
      <c r="J68" s="126"/>
      <c r="K68" s="126"/>
      <c r="L68" s="126"/>
      <c r="M68" s="126"/>
      <c r="N68" s="126"/>
      <c r="O68" s="126"/>
      <c r="P68" s="126"/>
      <c r="Q68" s="148"/>
    </row>
    <row r="71" spans="2:20" ht="15" thickBot="1" x14ac:dyDescent="0.35">
      <c r="C71" s="49"/>
    </row>
    <row r="72" spans="2:20" x14ac:dyDescent="0.3">
      <c r="B72" s="16"/>
      <c r="C72" s="17"/>
      <c r="D72" s="17"/>
      <c r="E72" s="17"/>
      <c r="F72" s="17"/>
      <c r="G72" s="17"/>
      <c r="H72" s="17"/>
      <c r="I72" s="17"/>
      <c r="J72" s="17"/>
      <c r="K72" s="17"/>
      <c r="L72" s="17"/>
      <c r="M72" s="17"/>
      <c r="N72" s="17"/>
      <c r="O72" s="159"/>
      <c r="P72" s="46"/>
      <c r="Q72" s="17"/>
      <c r="R72" s="17"/>
      <c r="S72" s="17"/>
      <c r="T72" s="18"/>
    </row>
    <row r="73" spans="2:20" x14ac:dyDescent="0.3">
      <c r="B73" s="19"/>
      <c r="O73" s="71"/>
      <c r="P73" s="71"/>
      <c r="T73" s="20"/>
    </row>
    <row r="74" spans="2:20" x14ac:dyDescent="0.3">
      <c r="B74" s="19"/>
      <c r="O74" s="673" t="s">
        <v>703</v>
      </c>
      <c r="P74" s="673"/>
      <c r="Q74" s="673"/>
      <c r="T74" s="20"/>
    </row>
    <row r="75" spans="2:20" x14ac:dyDescent="0.3">
      <c r="B75" s="19"/>
      <c r="O75" s="41" t="str">
        <f>TEXT(cCampagneN,"0000-00")</f>
        <v>N</v>
      </c>
      <c r="P75" s="41" t="str">
        <f>cCampagneN1</f>
        <v>N-1</v>
      </c>
      <c r="Q75" s="41" t="str">
        <f>CCampagneN2</f>
        <v>N-2</v>
      </c>
      <c r="T75" s="20"/>
    </row>
    <row r="76" spans="2:20" ht="15.6" x14ac:dyDescent="0.3">
      <c r="B76" s="19"/>
      <c r="C76" s="662" t="s">
        <v>97</v>
      </c>
      <c r="D76" s="663"/>
      <c r="E76" s="663"/>
      <c r="F76" s="663"/>
      <c r="G76" s="663"/>
      <c r="H76" s="663"/>
      <c r="I76" s="663"/>
      <c r="J76" s="663"/>
      <c r="K76" s="663"/>
      <c r="L76" s="663"/>
      <c r="M76" s="663"/>
      <c r="N76" s="52"/>
      <c r="O76" s="52"/>
      <c r="P76" s="52"/>
      <c r="Q76" s="52"/>
      <c r="R76" s="453"/>
      <c r="S76" s="152"/>
      <c r="T76" s="20"/>
    </row>
    <row r="77" spans="2:20" x14ac:dyDescent="0.3">
      <c r="B77" s="19"/>
      <c r="C77" s="54" t="s">
        <v>98</v>
      </c>
      <c r="D77" s="47"/>
      <c r="E77" s="47"/>
      <c r="F77" s="47"/>
      <c r="G77" s="47"/>
      <c r="H77" s="47"/>
      <c r="I77" s="47"/>
      <c r="J77" s="47"/>
      <c r="K77" s="47"/>
      <c r="L77" s="47"/>
      <c r="M77" s="47"/>
      <c r="N77" s="43"/>
      <c r="O77" s="523"/>
      <c r="P77" s="523"/>
      <c r="Q77" s="523"/>
      <c r="S77" s="55"/>
      <c r="T77" s="20"/>
    </row>
    <row r="78" spans="2:20" x14ac:dyDescent="0.3">
      <c r="B78" s="19"/>
      <c r="C78" s="56" t="s">
        <v>99</v>
      </c>
      <c r="D78" s="48"/>
      <c r="E78" s="48"/>
      <c r="F78" s="48"/>
      <c r="G78" s="48"/>
      <c r="H78" s="48"/>
      <c r="I78" s="48"/>
      <c r="J78" s="48"/>
      <c r="K78" s="48"/>
      <c r="L78" s="48"/>
      <c r="M78" s="48"/>
      <c r="N78" s="44"/>
      <c r="O78" s="523"/>
      <c r="P78" s="523"/>
      <c r="Q78" s="523"/>
      <c r="S78" s="55"/>
      <c r="T78" s="20"/>
    </row>
    <row r="79" spans="2:20" x14ac:dyDescent="0.3">
      <c r="B79" s="19"/>
      <c r="C79" s="56" t="s">
        <v>100</v>
      </c>
      <c r="D79" s="48"/>
      <c r="E79" s="48"/>
      <c r="F79" s="48"/>
      <c r="G79" s="48"/>
      <c r="H79" s="48"/>
      <c r="I79" s="48"/>
      <c r="J79" s="48"/>
      <c r="K79" s="48"/>
      <c r="L79" s="48"/>
      <c r="M79" s="48"/>
      <c r="N79" s="44"/>
      <c r="O79" s="523"/>
      <c r="P79" s="523"/>
      <c r="Q79" s="523"/>
      <c r="S79" s="55"/>
      <c r="T79" s="20"/>
    </row>
    <row r="80" spans="2:20" x14ac:dyDescent="0.3">
      <c r="B80" s="19"/>
      <c r="C80" s="56" t="s">
        <v>101</v>
      </c>
      <c r="D80" s="48"/>
      <c r="E80" s="48"/>
      <c r="F80" s="48"/>
      <c r="G80" s="48"/>
      <c r="H80" s="48"/>
      <c r="I80" s="48"/>
      <c r="J80" s="48"/>
      <c r="K80" s="48"/>
      <c r="L80" s="48"/>
      <c r="M80" s="48"/>
      <c r="N80" s="44"/>
      <c r="O80" s="523"/>
      <c r="P80" s="523"/>
      <c r="Q80" s="523"/>
      <c r="S80" s="55"/>
      <c r="T80" s="20"/>
    </row>
    <row r="81" spans="2:20" x14ac:dyDescent="0.3">
      <c r="B81" s="19"/>
      <c r="C81" s="56" t="s">
        <v>102</v>
      </c>
      <c r="D81" s="48"/>
      <c r="E81" s="48"/>
      <c r="F81" s="48"/>
      <c r="G81" s="48"/>
      <c r="H81" s="48"/>
      <c r="I81" s="48"/>
      <c r="J81" s="48"/>
      <c r="K81" s="48"/>
      <c r="L81" s="48"/>
      <c r="M81" s="48"/>
      <c r="N81" s="44"/>
      <c r="O81" s="523"/>
      <c r="P81" s="523"/>
      <c r="Q81" s="523"/>
      <c r="S81" s="55"/>
      <c r="T81" s="20"/>
    </row>
    <row r="82" spans="2:20" x14ac:dyDescent="0.3">
      <c r="B82" s="19"/>
      <c r="C82" s="56" t="s">
        <v>559</v>
      </c>
      <c r="D82" s="48"/>
      <c r="E82" s="48"/>
      <c r="F82" s="48"/>
      <c r="G82" s="48"/>
      <c r="H82" s="48"/>
      <c r="I82" s="48"/>
      <c r="J82" s="48"/>
      <c r="K82" s="48"/>
      <c r="L82" s="48"/>
      <c r="M82" s="48"/>
      <c r="N82" s="44"/>
      <c r="O82" s="523"/>
      <c r="P82" s="523"/>
      <c r="Q82" s="523"/>
      <c r="S82" s="55"/>
      <c r="T82" s="20"/>
    </row>
    <row r="83" spans="2:20" x14ac:dyDescent="0.3">
      <c r="B83" s="19"/>
      <c r="C83" s="56" t="s">
        <v>103</v>
      </c>
      <c r="D83" s="48"/>
      <c r="E83" s="48"/>
      <c r="F83" s="48"/>
      <c r="G83" s="48"/>
      <c r="H83" s="48"/>
      <c r="I83" s="48"/>
      <c r="J83" s="48"/>
      <c r="K83" s="48"/>
      <c r="L83" s="48"/>
      <c r="M83" s="48"/>
      <c r="N83" s="44"/>
      <c r="O83" s="523"/>
      <c r="P83" s="523"/>
      <c r="Q83" s="523"/>
      <c r="S83" s="55"/>
      <c r="T83" s="20"/>
    </row>
    <row r="84" spans="2:20" x14ac:dyDescent="0.3">
      <c r="B84" s="19"/>
      <c r="C84" s="63"/>
      <c r="D84" s="40"/>
      <c r="E84" s="40"/>
      <c r="F84" s="40"/>
      <c r="G84" s="40"/>
      <c r="H84" s="40"/>
      <c r="I84" s="40"/>
      <c r="J84" s="40"/>
      <c r="K84" s="40"/>
      <c r="L84" s="40"/>
      <c r="M84" s="499" t="s">
        <v>3099</v>
      </c>
      <c r="N84" s="40"/>
      <c r="O84" s="524">
        <f>SUM(O77:O83)</f>
        <v>0</v>
      </c>
      <c r="P84" s="524">
        <f t="shared" ref="P84:Q84" si="0">SUM(P77:P83)</f>
        <v>0</v>
      </c>
      <c r="Q84" s="524">
        <f t="shared" si="0"/>
        <v>0</v>
      </c>
      <c r="R84" s="40"/>
      <c r="S84" s="58"/>
      <c r="T84" s="20"/>
    </row>
    <row r="85" spans="2:20" x14ac:dyDescent="0.3">
      <c r="B85" s="19"/>
      <c r="O85" s="522"/>
      <c r="P85" s="522"/>
      <c r="Q85" s="522"/>
      <c r="T85" s="20"/>
    </row>
    <row r="86" spans="2:20" ht="15.6" x14ac:dyDescent="0.3">
      <c r="B86" s="19"/>
      <c r="C86" s="662" t="s">
        <v>104</v>
      </c>
      <c r="D86" s="663"/>
      <c r="E86" s="663"/>
      <c r="F86" s="663"/>
      <c r="G86" s="663"/>
      <c r="H86" s="663"/>
      <c r="I86" s="663"/>
      <c r="J86" s="663"/>
      <c r="K86" s="663"/>
      <c r="L86" s="663"/>
      <c r="M86" s="663"/>
      <c r="N86" s="52"/>
      <c r="O86" s="525"/>
      <c r="P86" s="525"/>
      <c r="Q86" s="525"/>
      <c r="R86" s="52"/>
      <c r="S86" s="53"/>
      <c r="T86" s="20"/>
    </row>
    <row r="87" spans="2:20" x14ac:dyDescent="0.3">
      <c r="B87" s="19"/>
      <c r="C87" s="54" t="s">
        <v>105</v>
      </c>
      <c r="D87" s="47"/>
      <c r="E87" s="47"/>
      <c r="F87" s="47"/>
      <c r="G87" s="47"/>
      <c r="H87" s="47"/>
      <c r="I87" s="47"/>
      <c r="J87" s="47"/>
      <c r="K87" s="47"/>
      <c r="L87" s="47"/>
      <c r="M87" s="47"/>
      <c r="N87" s="43"/>
      <c r="O87" s="523"/>
      <c r="P87" s="523"/>
      <c r="Q87" s="523"/>
      <c r="S87" s="55"/>
      <c r="T87" s="20"/>
    </row>
    <row r="88" spans="2:20" x14ac:dyDescent="0.3">
      <c r="B88" s="19"/>
      <c r="C88" s="56" t="s">
        <v>106</v>
      </c>
      <c r="D88" s="48"/>
      <c r="E88" s="48"/>
      <c r="F88" s="48"/>
      <c r="G88" s="48"/>
      <c r="H88" s="48"/>
      <c r="I88" s="48"/>
      <c r="J88" s="48"/>
      <c r="K88" s="48"/>
      <c r="L88" s="48"/>
      <c r="M88" s="48"/>
      <c r="N88" s="44"/>
      <c r="O88" s="523"/>
      <c r="P88" s="523"/>
      <c r="Q88" s="523"/>
      <c r="S88" s="55"/>
      <c r="T88" s="20"/>
    </row>
    <row r="89" spans="2:20" x14ac:dyDescent="0.3">
      <c r="B89" s="19"/>
      <c r="C89" s="56" t="s">
        <v>107</v>
      </c>
      <c r="D89" s="48"/>
      <c r="E89" s="48"/>
      <c r="F89" s="48"/>
      <c r="G89" s="48"/>
      <c r="H89" s="48"/>
      <c r="I89" s="48"/>
      <c r="J89" s="48"/>
      <c r="K89" s="48"/>
      <c r="L89" s="48"/>
      <c r="M89" s="48"/>
      <c r="N89" s="44"/>
      <c r="O89" s="523"/>
      <c r="P89" s="523"/>
      <c r="Q89" s="523"/>
      <c r="S89" s="55"/>
      <c r="T89" s="20"/>
    </row>
    <row r="90" spans="2:20" x14ac:dyDescent="0.3">
      <c r="B90" s="19"/>
      <c r="C90" s="56" t="s">
        <v>108</v>
      </c>
      <c r="D90" s="48"/>
      <c r="E90" s="48"/>
      <c r="F90" s="48"/>
      <c r="G90" s="48"/>
      <c r="H90" s="48"/>
      <c r="I90" s="48"/>
      <c r="J90" s="48"/>
      <c r="K90" s="48"/>
      <c r="L90" s="48"/>
      <c r="M90" s="48"/>
      <c r="N90" s="48"/>
      <c r="O90" s="523"/>
      <c r="P90" s="523"/>
      <c r="Q90" s="523"/>
      <c r="S90" s="55"/>
      <c r="T90" s="20"/>
    </row>
    <row r="91" spans="2:20" x14ac:dyDescent="0.3">
      <c r="B91" s="19"/>
      <c r="C91" s="57"/>
      <c r="D91" s="40"/>
      <c r="E91" s="40"/>
      <c r="F91" s="40"/>
      <c r="G91" s="40"/>
      <c r="H91" s="40"/>
      <c r="I91" s="40"/>
      <c r="J91" s="40"/>
      <c r="K91" s="40"/>
      <c r="L91" s="40"/>
      <c r="M91" s="499" t="s">
        <v>3100</v>
      </c>
      <c r="N91" s="40"/>
      <c r="O91" s="524">
        <f>SUM(O87:O90)</f>
        <v>0</v>
      </c>
      <c r="P91" s="524">
        <f t="shared" ref="P91:Q91" si="1">SUM(P87:P90)</f>
        <v>0</v>
      </c>
      <c r="Q91" s="524">
        <f t="shared" si="1"/>
        <v>0</v>
      </c>
      <c r="R91" s="40"/>
      <c r="S91" s="58"/>
      <c r="T91" s="20"/>
    </row>
    <row r="92" spans="2:20" x14ac:dyDescent="0.3">
      <c r="B92" s="19"/>
      <c r="O92" s="522"/>
      <c r="P92" s="522"/>
      <c r="Q92" s="522"/>
      <c r="T92" s="20"/>
    </row>
    <row r="93" spans="2:20" ht="15.6" x14ac:dyDescent="0.3">
      <c r="B93" s="19"/>
      <c r="C93" s="662" t="s">
        <v>109</v>
      </c>
      <c r="D93" s="663"/>
      <c r="E93" s="663"/>
      <c r="F93" s="663"/>
      <c r="G93" s="663"/>
      <c r="H93" s="663"/>
      <c r="I93" s="663"/>
      <c r="J93" s="663"/>
      <c r="K93" s="663"/>
      <c r="L93" s="663"/>
      <c r="M93" s="663"/>
      <c r="N93" s="52"/>
      <c r="O93" s="525"/>
      <c r="P93" s="525"/>
      <c r="Q93" s="525"/>
      <c r="R93" s="52"/>
      <c r="S93" s="53"/>
      <c r="T93" s="20"/>
    </row>
    <row r="94" spans="2:20" x14ac:dyDescent="0.3">
      <c r="B94" s="19"/>
      <c r="C94" s="54" t="s">
        <v>110</v>
      </c>
      <c r="D94" s="47"/>
      <c r="E94" s="47"/>
      <c r="F94" s="47"/>
      <c r="G94" s="47"/>
      <c r="H94" s="47"/>
      <c r="I94" s="47"/>
      <c r="J94" s="47"/>
      <c r="K94" s="47"/>
      <c r="L94" s="47"/>
      <c r="M94" s="47"/>
      <c r="N94" s="43"/>
      <c r="O94" s="523"/>
      <c r="P94" s="523"/>
      <c r="Q94" s="523"/>
      <c r="S94" s="55"/>
      <c r="T94" s="20"/>
    </row>
    <row r="95" spans="2:20" x14ac:dyDescent="0.3">
      <c r="B95" s="19"/>
      <c r="C95" s="56" t="s">
        <v>111</v>
      </c>
      <c r="D95" s="48"/>
      <c r="E95" s="48"/>
      <c r="F95" s="48"/>
      <c r="G95" s="48"/>
      <c r="H95" s="48"/>
      <c r="I95" s="48"/>
      <c r="J95" s="48"/>
      <c r="K95" s="48"/>
      <c r="L95" s="48"/>
      <c r="M95" s="48"/>
      <c r="N95" s="44"/>
      <c r="O95" s="523"/>
      <c r="P95" s="523"/>
      <c r="Q95" s="523"/>
      <c r="S95" s="55"/>
      <c r="T95" s="20"/>
    </row>
    <row r="96" spans="2:20" x14ac:dyDescent="0.3">
      <c r="B96" s="19"/>
      <c r="C96" s="56" t="s">
        <v>112</v>
      </c>
      <c r="D96" s="48"/>
      <c r="E96" s="48"/>
      <c r="F96" s="48"/>
      <c r="G96" s="48"/>
      <c r="H96" s="48"/>
      <c r="I96" s="48"/>
      <c r="J96" s="48"/>
      <c r="K96" s="48"/>
      <c r="L96" s="48"/>
      <c r="M96" s="48"/>
      <c r="N96" s="44"/>
      <c r="O96" s="523"/>
      <c r="P96" s="523"/>
      <c r="Q96" s="523"/>
      <c r="S96" s="55"/>
      <c r="T96" s="20"/>
    </row>
    <row r="97" spans="2:20" x14ac:dyDescent="0.3">
      <c r="B97" s="19"/>
      <c r="C97" s="56" t="s">
        <v>113</v>
      </c>
      <c r="D97" s="48"/>
      <c r="E97" s="48"/>
      <c r="F97" s="48"/>
      <c r="G97" s="48"/>
      <c r="H97" s="48"/>
      <c r="I97" s="48"/>
      <c r="J97" s="48"/>
      <c r="K97" s="48"/>
      <c r="L97" s="48"/>
      <c r="M97" s="48"/>
      <c r="N97" s="44"/>
      <c r="O97" s="523"/>
      <c r="P97" s="523"/>
      <c r="Q97" s="523"/>
      <c r="S97" s="55"/>
      <c r="T97" s="20"/>
    </row>
    <row r="98" spans="2:20" x14ac:dyDescent="0.3">
      <c r="B98" s="19"/>
      <c r="C98" s="57"/>
      <c r="D98" s="40"/>
      <c r="E98" s="40"/>
      <c r="F98" s="40"/>
      <c r="G98" s="40"/>
      <c r="H98" s="40"/>
      <c r="I98" s="40"/>
      <c r="J98" s="40"/>
      <c r="K98" s="40"/>
      <c r="L98" s="40"/>
      <c r="M98" s="499" t="s">
        <v>3101</v>
      </c>
      <c r="N98" s="40"/>
      <c r="O98" s="524">
        <f>SUM(O94:O97)</f>
        <v>0</v>
      </c>
      <c r="P98" s="524">
        <f t="shared" ref="P98" si="2">SUM(P94:P97)</f>
        <v>0</v>
      </c>
      <c r="Q98" s="524">
        <f t="shared" ref="Q98" si="3">SUM(Q94:Q97)</f>
        <v>0</v>
      </c>
      <c r="R98" s="40"/>
      <c r="S98" s="58"/>
      <c r="T98" s="20"/>
    </row>
    <row r="99" spans="2:20" x14ac:dyDescent="0.3">
      <c r="B99" s="19"/>
      <c r="O99" s="522"/>
      <c r="P99" s="522"/>
      <c r="Q99" s="522"/>
      <c r="T99" s="20"/>
    </row>
    <row r="100" spans="2:20" ht="15.6" x14ac:dyDescent="0.3">
      <c r="B100" s="19"/>
      <c r="C100" s="662" t="s">
        <v>2470</v>
      </c>
      <c r="D100" s="663"/>
      <c r="E100" s="663"/>
      <c r="F100" s="663"/>
      <c r="G100" s="663"/>
      <c r="H100" s="663"/>
      <c r="I100" s="663"/>
      <c r="J100" s="663"/>
      <c r="K100" s="663"/>
      <c r="L100" s="663"/>
      <c r="M100" s="663"/>
      <c r="N100" s="52"/>
      <c r="O100" s="525"/>
      <c r="P100" s="525"/>
      <c r="Q100" s="525"/>
      <c r="R100" s="52"/>
      <c r="S100" s="53"/>
      <c r="T100" s="20"/>
    </row>
    <row r="101" spans="2:20" x14ac:dyDescent="0.3">
      <c r="B101" s="19"/>
      <c r="C101" s="54" t="s">
        <v>114</v>
      </c>
      <c r="D101" s="47"/>
      <c r="E101" s="47"/>
      <c r="F101" s="47"/>
      <c r="G101" s="47"/>
      <c r="H101" s="47"/>
      <c r="I101" s="47"/>
      <c r="J101" s="47"/>
      <c r="K101" s="47"/>
      <c r="L101" s="47"/>
      <c r="M101" s="47"/>
      <c r="N101" s="47"/>
      <c r="O101" s="523"/>
      <c r="P101" s="523"/>
      <c r="Q101" s="523"/>
      <c r="S101" s="55"/>
      <c r="T101" s="20"/>
    </row>
    <row r="102" spans="2:20" x14ac:dyDescent="0.3">
      <c r="B102" s="19"/>
      <c r="C102" s="328" t="s">
        <v>2471</v>
      </c>
      <c r="D102" s="329"/>
      <c r="E102" s="136"/>
      <c r="F102" s="136"/>
      <c r="G102" s="136"/>
      <c r="H102" s="136"/>
      <c r="I102" s="136"/>
      <c r="J102" s="136"/>
      <c r="K102" s="136"/>
      <c r="L102" s="136"/>
      <c r="M102" s="136"/>
      <c r="N102" s="136"/>
      <c r="O102" s="526"/>
      <c r="P102" s="526"/>
      <c r="Q102" s="526"/>
      <c r="S102" s="55"/>
      <c r="T102" s="20"/>
    </row>
    <row r="103" spans="2:20" x14ac:dyDescent="0.3">
      <c r="B103" s="19"/>
      <c r="C103" s="62"/>
      <c r="D103" t="s">
        <v>2283</v>
      </c>
      <c r="O103" s="523"/>
      <c r="P103" s="523"/>
      <c r="Q103" s="523"/>
      <c r="S103" s="55"/>
      <c r="T103" s="20"/>
    </row>
    <row r="104" spans="2:20" x14ac:dyDescent="0.3">
      <c r="B104" s="19"/>
      <c r="C104" s="62"/>
      <c r="D104" s="136" t="s">
        <v>3211</v>
      </c>
      <c r="E104" s="136"/>
      <c r="F104" s="136"/>
      <c r="G104" s="136"/>
      <c r="H104" s="136"/>
      <c r="I104" s="136"/>
      <c r="J104" s="136"/>
      <c r="K104" s="136"/>
      <c r="L104" s="136"/>
      <c r="M104" s="136"/>
      <c r="N104" s="136"/>
      <c r="O104" s="523"/>
      <c r="P104" s="523"/>
      <c r="Q104" s="523"/>
      <c r="S104" s="55"/>
      <c r="T104" s="20"/>
    </row>
    <row r="105" spans="2:20" x14ac:dyDescent="0.3">
      <c r="B105" s="19"/>
      <c r="C105" s="62"/>
      <c r="D105" s="136" t="s">
        <v>2368</v>
      </c>
      <c r="E105" s="136"/>
      <c r="F105" s="136"/>
      <c r="G105" s="136"/>
      <c r="H105" s="136"/>
      <c r="I105" s="136"/>
      <c r="J105" s="136"/>
      <c r="K105" s="136"/>
      <c r="L105" s="136"/>
      <c r="M105" s="48"/>
      <c r="N105" s="44"/>
      <c r="O105" s="523"/>
      <c r="P105" s="523"/>
      <c r="Q105" s="523"/>
      <c r="S105" s="55"/>
      <c r="T105" s="20"/>
    </row>
    <row r="106" spans="2:20" x14ac:dyDescent="0.3">
      <c r="B106" s="19"/>
      <c r="C106" s="57"/>
      <c r="D106" s="61"/>
      <c r="E106" s="61"/>
      <c r="F106" s="61"/>
      <c r="G106" s="61"/>
      <c r="H106" s="61"/>
      <c r="I106" s="61"/>
      <c r="J106" s="61"/>
      <c r="K106" s="61"/>
      <c r="L106" s="61"/>
      <c r="M106" s="499" t="s">
        <v>3102</v>
      </c>
      <c r="N106" s="40"/>
      <c r="O106" s="524">
        <f>SUM(O101,O103:O105)</f>
        <v>0</v>
      </c>
      <c r="P106" s="524">
        <f t="shared" ref="P106:Q106" si="4">SUM(P101,P103:P105)</f>
        <v>0</v>
      </c>
      <c r="Q106" s="524">
        <f t="shared" si="4"/>
        <v>0</v>
      </c>
      <c r="R106" s="40"/>
      <c r="S106" s="58"/>
      <c r="T106" s="20"/>
    </row>
    <row r="107" spans="2:20" x14ac:dyDescent="0.3">
      <c r="B107" s="19"/>
      <c r="O107" s="522"/>
      <c r="P107" s="522"/>
      <c r="Q107" s="522"/>
      <c r="T107" s="20"/>
    </row>
    <row r="108" spans="2:20" ht="33" customHeight="1" x14ac:dyDescent="0.3">
      <c r="B108" s="19"/>
      <c r="C108" s="667" t="s">
        <v>560</v>
      </c>
      <c r="D108" s="668"/>
      <c r="E108" s="668"/>
      <c r="F108" s="668"/>
      <c r="G108" s="668"/>
      <c r="H108" s="668"/>
      <c r="I108" s="668"/>
      <c r="J108" s="668"/>
      <c r="K108" s="668"/>
      <c r="L108" s="668"/>
      <c r="M108" s="668"/>
      <c r="N108" s="52"/>
      <c r="O108" s="525"/>
      <c r="P108" s="525"/>
      <c r="Q108" s="525"/>
      <c r="R108" s="52"/>
      <c r="S108" s="53"/>
      <c r="T108" s="20"/>
    </row>
    <row r="109" spans="2:20" x14ac:dyDescent="0.3">
      <c r="B109" s="19"/>
      <c r="C109" s="54" t="s">
        <v>115</v>
      </c>
      <c r="D109" s="47"/>
      <c r="E109" s="47"/>
      <c r="F109" s="47"/>
      <c r="G109" s="47"/>
      <c r="H109" s="47"/>
      <c r="I109" s="47"/>
      <c r="J109" s="47"/>
      <c r="K109" s="47"/>
      <c r="L109" s="47"/>
      <c r="M109" s="47"/>
      <c r="N109" s="47"/>
      <c r="O109" s="523"/>
      <c r="P109" s="523"/>
      <c r="Q109" s="523"/>
      <c r="S109" s="55"/>
      <c r="T109" s="20"/>
    </row>
    <row r="110" spans="2:20" x14ac:dyDescent="0.3">
      <c r="B110" s="19"/>
      <c r="C110" s="56" t="s">
        <v>116</v>
      </c>
      <c r="D110" s="48"/>
      <c r="E110" s="48"/>
      <c r="F110" s="48"/>
      <c r="G110" s="48"/>
      <c r="H110" s="48"/>
      <c r="I110" s="48"/>
      <c r="J110" s="48"/>
      <c r="K110" s="48"/>
      <c r="L110" s="48"/>
      <c r="M110" s="48"/>
      <c r="N110" s="48"/>
      <c r="O110" s="523"/>
      <c r="P110" s="523"/>
      <c r="Q110" s="523"/>
      <c r="S110" s="55"/>
      <c r="T110" s="20"/>
    </row>
    <row r="111" spans="2:20" x14ac:dyDescent="0.3">
      <c r="B111" s="19"/>
      <c r="C111" s="56" t="s">
        <v>117</v>
      </c>
      <c r="D111" s="48"/>
      <c r="E111" s="48"/>
      <c r="F111" s="48"/>
      <c r="G111" s="48"/>
      <c r="H111" s="48"/>
      <c r="I111" s="48"/>
      <c r="J111" s="48"/>
      <c r="K111" s="48"/>
      <c r="L111" s="48"/>
      <c r="M111" s="48"/>
      <c r="N111" s="48"/>
      <c r="O111" s="523"/>
      <c r="P111" s="523"/>
      <c r="Q111" s="523"/>
      <c r="S111" s="55"/>
      <c r="T111" s="20"/>
    </row>
    <row r="112" spans="2:20" x14ac:dyDescent="0.3">
      <c r="B112" s="19"/>
      <c r="C112" s="57"/>
      <c r="D112" s="40"/>
      <c r="E112" s="40"/>
      <c r="F112" s="40"/>
      <c r="G112" s="40"/>
      <c r="H112" s="40"/>
      <c r="I112" s="40"/>
      <c r="J112" s="40"/>
      <c r="K112" s="40"/>
      <c r="L112" s="40"/>
      <c r="M112" s="499" t="s">
        <v>3103</v>
      </c>
      <c r="N112" s="40"/>
      <c r="O112" s="524">
        <f>SUM(O109:O111)</f>
        <v>0</v>
      </c>
      <c r="P112" s="524">
        <f t="shared" ref="P112:Q112" si="5">SUM(P109:P111)</f>
        <v>0</v>
      </c>
      <c r="Q112" s="524">
        <f t="shared" si="5"/>
        <v>0</v>
      </c>
      <c r="R112" s="40"/>
      <c r="S112" s="58"/>
      <c r="T112" s="20"/>
    </row>
    <row r="113" spans="2:20" x14ac:dyDescent="0.3">
      <c r="B113" s="19"/>
      <c r="O113" s="522"/>
      <c r="P113" s="522"/>
      <c r="Q113" s="522"/>
      <c r="T113" s="20"/>
    </row>
    <row r="114" spans="2:20" ht="15.6" x14ac:dyDescent="0.3">
      <c r="B114" s="19"/>
      <c r="C114" s="662" t="s">
        <v>118</v>
      </c>
      <c r="D114" s="663"/>
      <c r="E114" s="663"/>
      <c r="F114" s="663"/>
      <c r="G114" s="663"/>
      <c r="H114" s="663"/>
      <c r="I114" s="663"/>
      <c r="J114" s="663"/>
      <c r="K114" s="663"/>
      <c r="L114" s="663"/>
      <c r="M114" s="663"/>
      <c r="N114" s="52"/>
      <c r="O114" s="525"/>
      <c r="P114" s="525"/>
      <c r="Q114" s="525"/>
      <c r="R114" s="52"/>
      <c r="S114" s="53"/>
      <c r="T114" s="20"/>
    </row>
    <row r="115" spans="2:20" x14ac:dyDescent="0.3">
      <c r="B115" s="19"/>
      <c r="C115" s="54" t="s">
        <v>561</v>
      </c>
      <c r="D115" s="47"/>
      <c r="E115" s="47"/>
      <c r="F115" s="47"/>
      <c r="G115" s="47"/>
      <c r="H115" s="47"/>
      <c r="I115" s="47"/>
      <c r="J115" s="47"/>
      <c r="K115" s="47"/>
      <c r="L115" s="47"/>
      <c r="M115" s="47"/>
      <c r="N115" s="47"/>
      <c r="O115" s="523"/>
      <c r="P115" s="523"/>
      <c r="Q115" s="523"/>
      <c r="S115" s="55"/>
      <c r="T115" s="20"/>
    </row>
    <row r="116" spans="2:20" x14ac:dyDescent="0.3">
      <c r="B116" s="19"/>
      <c r="C116" s="56" t="s">
        <v>562</v>
      </c>
      <c r="D116" s="48"/>
      <c r="E116" s="48"/>
      <c r="F116" s="48"/>
      <c r="G116" s="48"/>
      <c r="H116" s="48"/>
      <c r="I116" s="48"/>
      <c r="J116" s="48"/>
      <c r="K116" s="48"/>
      <c r="L116" s="48"/>
      <c r="M116" s="48"/>
      <c r="N116" s="48"/>
      <c r="O116" s="523"/>
      <c r="P116" s="523"/>
      <c r="Q116" s="523"/>
      <c r="S116" s="55"/>
      <c r="T116" s="20"/>
    </row>
    <row r="117" spans="2:20" x14ac:dyDescent="0.3">
      <c r="B117" s="19"/>
      <c r="C117" s="56" t="s">
        <v>563</v>
      </c>
      <c r="D117" s="48"/>
      <c r="E117" s="48"/>
      <c r="F117" s="48"/>
      <c r="G117" s="48"/>
      <c r="H117" s="48"/>
      <c r="I117" s="48"/>
      <c r="J117" s="48"/>
      <c r="K117" s="48"/>
      <c r="L117" s="48"/>
      <c r="M117" s="48"/>
      <c r="N117" s="48"/>
      <c r="O117" s="523"/>
      <c r="P117" s="523"/>
      <c r="Q117" s="523"/>
      <c r="S117" s="55"/>
      <c r="T117" s="20"/>
    </row>
    <row r="118" spans="2:20" x14ac:dyDescent="0.3">
      <c r="B118" s="19"/>
      <c r="C118" s="56" t="s">
        <v>564</v>
      </c>
      <c r="D118" s="48"/>
      <c r="E118" s="48"/>
      <c r="F118" s="48"/>
      <c r="G118" s="48"/>
      <c r="H118" s="48"/>
      <c r="I118" s="48"/>
      <c r="J118" s="48"/>
      <c r="K118" s="48"/>
      <c r="L118" s="48"/>
      <c r="M118" s="48"/>
      <c r="N118" s="48"/>
      <c r="O118" s="523"/>
      <c r="P118" s="523"/>
      <c r="Q118" s="523"/>
      <c r="S118" s="55"/>
      <c r="T118" s="20"/>
    </row>
    <row r="119" spans="2:20" x14ac:dyDescent="0.3">
      <c r="B119" s="19"/>
      <c r="C119" s="56" t="s">
        <v>565</v>
      </c>
      <c r="D119" s="48"/>
      <c r="E119" s="48"/>
      <c r="F119" s="48"/>
      <c r="G119" s="48"/>
      <c r="H119" s="48"/>
      <c r="I119" s="48"/>
      <c r="J119" s="48"/>
      <c r="K119" s="48"/>
      <c r="L119" s="48"/>
      <c r="M119" s="48"/>
      <c r="N119" s="48"/>
      <c r="O119" s="523"/>
      <c r="P119" s="523"/>
      <c r="Q119" s="523"/>
      <c r="S119" s="55"/>
      <c r="T119" s="20"/>
    </row>
    <row r="120" spans="2:20" x14ac:dyDescent="0.3">
      <c r="B120" s="19"/>
      <c r="C120" s="56" t="s">
        <v>566</v>
      </c>
      <c r="D120" s="48"/>
      <c r="E120" s="48"/>
      <c r="F120" s="48"/>
      <c r="G120" s="48"/>
      <c r="H120" s="48"/>
      <c r="I120" s="48"/>
      <c r="J120" s="48"/>
      <c r="K120" s="48"/>
      <c r="L120" s="48"/>
      <c r="M120" s="48"/>
      <c r="N120" s="48"/>
      <c r="O120" s="523"/>
      <c r="P120" s="523"/>
      <c r="Q120" s="523"/>
      <c r="S120" s="55"/>
      <c r="T120" s="20"/>
    </row>
    <row r="121" spans="2:20" x14ac:dyDescent="0.3">
      <c r="B121" s="19"/>
      <c r="C121" s="56" t="s">
        <v>567</v>
      </c>
      <c r="D121" s="48"/>
      <c r="E121" s="48"/>
      <c r="F121" s="48"/>
      <c r="G121" s="48"/>
      <c r="H121" s="48"/>
      <c r="I121" s="48"/>
      <c r="J121" s="48"/>
      <c r="K121" s="48"/>
      <c r="L121" s="48"/>
      <c r="M121" s="48"/>
      <c r="N121" s="48"/>
      <c r="O121" s="523"/>
      <c r="P121" s="523"/>
      <c r="Q121" s="523"/>
      <c r="S121" s="55"/>
      <c r="T121" s="20"/>
    </row>
    <row r="122" spans="2:20" x14ac:dyDescent="0.3">
      <c r="B122" s="19"/>
      <c r="C122" s="56" t="s">
        <v>3212</v>
      </c>
      <c r="D122" s="48"/>
      <c r="E122" s="48"/>
      <c r="F122" s="48"/>
      <c r="G122" s="48"/>
      <c r="H122" s="48"/>
      <c r="I122" s="48"/>
      <c r="J122" s="48"/>
      <c r="K122" s="48"/>
      <c r="L122" s="48"/>
      <c r="M122" s="48"/>
      <c r="N122" s="48"/>
      <c r="O122" s="523"/>
      <c r="P122" s="523"/>
      <c r="Q122" s="523"/>
      <c r="S122" s="55"/>
      <c r="T122" s="20"/>
    </row>
    <row r="123" spans="2:20" x14ac:dyDescent="0.3">
      <c r="B123" s="19"/>
      <c r="C123" s="62"/>
      <c r="M123" s="500" t="s">
        <v>3104</v>
      </c>
      <c r="N123" s="501"/>
      <c r="O123" s="524">
        <f>SUM(O115:O122)</f>
        <v>0</v>
      </c>
      <c r="P123" s="524">
        <f t="shared" ref="P123:Q123" si="6">SUM(P115:P122)</f>
        <v>0</v>
      </c>
      <c r="Q123" s="524">
        <f t="shared" si="6"/>
        <v>0</v>
      </c>
      <c r="S123" s="55"/>
      <c r="T123" s="20"/>
    </row>
    <row r="124" spans="2:20" ht="15" customHeight="1" x14ac:dyDescent="0.3">
      <c r="B124" s="19"/>
      <c r="C124" s="674" t="s">
        <v>124</v>
      </c>
      <c r="D124" s="675"/>
      <c r="E124" s="675"/>
      <c r="F124" s="675"/>
      <c r="G124" s="675"/>
      <c r="H124" s="675"/>
      <c r="I124" s="675"/>
      <c r="J124" s="675"/>
      <c r="K124" s="675"/>
      <c r="L124" s="675"/>
      <c r="M124" s="675"/>
      <c r="N124" s="675"/>
      <c r="O124" s="675"/>
      <c r="P124" s="675"/>
      <c r="Q124" s="675"/>
      <c r="R124" s="675"/>
      <c r="S124" s="55"/>
      <c r="T124" s="20"/>
    </row>
    <row r="125" spans="2:20" ht="42" customHeight="1" x14ac:dyDescent="0.3">
      <c r="B125" s="19"/>
      <c r="C125" s="676"/>
      <c r="D125" s="677"/>
      <c r="E125" s="677"/>
      <c r="F125" s="677"/>
      <c r="G125" s="677"/>
      <c r="H125" s="677"/>
      <c r="I125" s="677"/>
      <c r="J125" s="677"/>
      <c r="K125" s="677"/>
      <c r="L125" s="677"/>
      <c r="M125" s="677"/>
      <c r="N125" s="677"/>
      <c r="O125" s="677"/>
      <c r="P125" s="677"/>
      <c r="Q125" s="677"/>
      <c r="R125" s="677"/>
      <c r="S125" s="58"/>
      <c r="T125" s="20"/>
    </row>
    <row r="126" spans="2:20" x14ac:dyDescent="0.3">
      <c r="B126" s="19"/>
      <c r="T126" s="20"/>
    </row>
    <row r="127" spans="2:20" ht="15.6" x14ac:dyDescent="0.3">
      <c r="B127" s="19"/>
      <c r="C127" s="662" t="s">
        <v>3236</v>
      </c>
      <c r="D127" s="663"/>
      <c r="E127" s="663"/>
      <c r="F127" s="663"/>
      <c r="G127" s="663"/>
      <c r="H127" s="663"/>
      <c r="I127" s="663"/>
      <c r="J127" s="663"/>
      <c r="K127" s="663"/>
      <c r="L127" s="663"/>
      <c r="M127" s="663"/>
      <c r="N127" s="52"/>
      <c r="O127" s="52"/>
      <c r="P127" s="52"/>
      <c r="Q127" s="52"/>
      <c r="R127" s="52"/>
      <c r="S127" s="53"/>
      <c r="T127" s="20"/>
    </row>
    <row r="128" spans="2:20" x14ac:dyDescent="0.3">
      <c r="B128" s="19"/>
      <c r="C128" s="54" t="s">
        <v>119</v>
      </c>
      <c r="D128" s="47"/>
      <c r="E128" s="47"/>
      <c r="F128" s="47"/>
      <c r="G128" s="47"/>
      <c r="H128" s="47"/>
      <c r="I128" s="47"/>
      <c r="J128" s="47"/>
      <c r="K128" s="47"/>
      <c r="L128" s="47"/>
      <c r="M128" s="47"/>
      <c r="N128" s="43"/>
      <c r="O128" s="523"/>
      <c r="P128" s="523"/>
      <c r="Q128" s="523"/>
      <c r="S128" s="55"/>
      <c r="T128" s="20"/>
    </row>
    <row r="129" spans="2:38" x14ac:dyDescent="0.3">
      <c r="B129" s="19"/>
      <c r="C129" s="56" t="s">
        <v>3237</v>
      </c>
      <c r="D129" s="48"/>
      <c r="E129" s="48"/>
      <c r="F129" s="48"/>
      <c r="G129" s="48"/>
      <c r="H129" s="48"/>
      <c r="I129" s="48"/>
      <c r="J129" s="48"/>
      <c r="K129" s="48"/>
      <c r="L129" s="48"/>
      <c r="M129" s="48"/>
      <c r="N129" s="44"/>
      <c r="O129" s="523"/>
      <c r="P129" s="523"/>
      <c r="Q129" s="523"/>
      <c r="S129" s="55"/>
      <c r="T129" s="20"/>
    </row>
    <row r="130" spans="2:38" x14ac:dyDescent="0.3">
      <c r="B130" s="19"/>
      <c r="C130" s="57"/>
      <c r="D130" s="40"/>
      <c r="E130" s="40"/>
      <c r="F130" s="40"/>
      <c r="G130" s="40"/>
      <c r="H130" s="40"/>
      <c r="I130" s="40"/>
      <c r="J130" s="40"/>
      <c r="K130" s="40"/>
      <c r="L130" s="40"/>
      <c r="M130" s="499" t="s">
        <v>3105</v>
      </c>
      <c r="N130" s="40"/>
      <c r="O130" s="524">
        <f>SUM(O128:O129)</f>
        <v>0</v>
      </c>
      <c r="P130" s="524">
        <f t="shared" ref="P130:Q130" si="7">SUM(P128:P129)</f>
        <v>0</v>
      </c>
      <c r="Q130" s="524">
        <f t="shared" si="7"/>
        <v>0</v>
      </c>
      <c r="R130" s="40"/>
      <c r="S130" s="58"/>
      <c r="T130" s="20"/>
    </row>
    <row r="131" spans="2:38" x14ac:dyDescent="0.3">
      <c r="B131" s="19"/>
      <c r="O131" s="522"/>
      <c r="P131" s="522"/>
      <c r="Q131" s="522"/>
      <c r="T131" s="20"/>
    </row>
    <row r="132" spans="2:38" ht="34.5" customHeight="1" x14ac:dyDescent="0.3">
      <c r="B132" s="19"/>
      <c r="C132" s="667" t="s">
        <v>704</v>
      </c>
      <c r="D132" s="668"/>
      <c r="E132" s="668"/>
      <c r="F132" s="668"/>
      <c r="G132" s="668"/>
      <c r="H132" s="668"/>
      <c r="I132" s="668"/>
      <c r="J132" s="668"/>
      <c r="K132" s="668"/>
      <c r="L132" s="668"/>
      <c r="M132" s="668"/>
      <c r="N132" s="52"/>
      <c r="O132" s="525"/>
      <c r="P132" s="525"/>
      <c r="Q132" s="525"/>
      <c r="R132" s="52"/>
      <c r="S132" s="53"/>
      <c r="T132" s="20"/>
    </row>
    <row r="133" spans="2:38" x14ac:dyDescent="0.3">
      <c r="B133" s="19"/>
      <c r="C133" s="54" t="s">
        <v>120</v>
      </c>
      <c r="D133" s="47"/>
      <c r="E133" s="47"/>
      <c r="F133" s="47"/>
      <c r="G133" s="47"/>
      <c r="H133" s="47"/>
      <c r="I133" s="47"/>
      <c r="J133" s="47"/>
      <c r="K133" s="47"/>
      <c r="L133" s="47"/>
      <c r="M133" s="47"/>
      <c r="N133" s="43"/>
      <c r="O133" s="523"/>
      <c r="P133" s="523"/>
      <c r="Q133" s="523"/>
      <c r="S133" s="55"/>
      <c r="T133" s="20"/>
    </row>
    <row r="134" spans="2:38" x14ac:dyDescent="0.3">
      <c r="B134" s="19"/>
      <c r="C134" s="56" t="s">
        <v>2776</v>
      </c>
      <c r="D134" s="48"/>
      <c r="E134" s="48"/>
      <c r="F134" s="48"/>
      <c r="G134" s="48"/>
      <c r="H134" s="48"/>
      <c r="I134" s="48"/>
      <c r="J134" s="48"/>
      <c r="K134" s="48"/>
      <c r="L134" s="48"/>
      <c r="M134" s="48"/>
      <c r="N134" s="44"/>
      <c r="O134" s="523"/>
      <c r="P134" s="523"/>
      <c r="Q134" s="523"/>
      <c r="S134" s="55"/>
      <c r="T134" s="20"/>
    </row>
    <row r="135" spans="2:38" x14ac:dyDescent="0.3">
      <c r="B135" s="19"/>
      <c r="C135" s="56" t="s">
        <v>2777</v>
      </c>
      <c r="D135" s="48"/>
      <c r="E135" s="48"/>
      <c r="F135" s="48"/>
      <c r="G135" s="48"/>
      <c r="H135" s="48"/>
      <c r="I135" s="48"/>
      <c r="J135" s="48"/>
      <c r="K135" s="48"/>
      <c r="L135" s="48"/>
      <c r="M135" s="48"/>
      <c r="N135" s="44"/>
      <c r="O135" s="523"/>
      <c r="P135" s="523"/>
      <c r="Q135" s="523"/>
      <c r="S135" s="55"/>
      <c r="T135" s="20"/>
    </row>
    <row r="136" spans="2:38" x14ac:dyDescent="0.3">
      <c r="B136" s="19"/>
      <c r="C136" s="56" t="s">
        <v>2778</v>
      </c>
      <c r="D136" s="48"/>
      <c r="E136" s="48"/>
      <c r="F136" s="48"/>
      <c r="G136" s="48"/>
      <c r="H136" s="48"/>
      <c r="I136" s="48"/>
      <c r="J136" s="48"/>
      <c r="K136" s="48"/>
      <c r="L136" s="48"/>
      <c r="M136" s="48"/>
      <c r="N136" s="44"/>
      <c r="O136" s="523"/>
      <c r="P136" s="523"/>
      <c r="Q136" s="523"/>
      <c r="S136" s="55"/>
      <c r="T136" s="20"/>
    </row>
    <row r="137" spans="2:38" x14ac:dyDescent="0.3">
      <c r="B137" s="19"/>
      <c r="C137" s="56" t="s">
        <v>2779</v>
      </c>
      <c r="D137" s="48"/>
      <c r="E137" s="48"/>
      <c r="F137" s="48"/>
      <c r="G137" s="48"/>
      <c r="H137" s="48"/>
      <c r="I137" s="48"/>
      <c r="J137" s="48"/>
      <c r="K137" s="48"/>
      <c r="L137" s="48"/>
      <c r="M137" s="48"/>
      <c r="N137" s="44"/>
      <c r="O137" s="523"/>
      <c r="P137" s="523"/>
      <c r="Q137" s="523"/>
      <c r="S137" s="55"/>
      <c r="T137" s="20"/>
      <c r="Y137" s="290"/>
      <c r="Z137" s="291"/>
      <c r="AA137" s="291"/>
      <c r="AB137" s="291"/>
      <c r="AC137" s="291"/>
      <c r="AD137" s="291"/>
      <c r="AE137" s="291"/>
      <c r="AF137" s="291"/>
      <c r="AG137" s="291"/>
      <c r="AH137" s="291"/>
      <c r="AI137" s="291"/>
      <c r="AJ137" s="291"/>
      <c r="AK137" s="291"/>
      <c r="AL137" s="292"/>
    </row>
    <row r="138" spans="2:38" x14ac:dyDescent="0.3">
      <c r="B138" s="19"/>
      <c r="C138" s="57"/>
      <c r="D138" s="40"/>
      <c r="E138" s="40"/>
      <c r="F138" s="40"/>
      <c r="G138" s="40"/>
      <c r="H138" s="40"/>
      <c r="I138" s="40"/>
      <c r="J138" s="40"/>
      <c r="K138" s="40"/>
      <c r="L138" s="40"/>
      <c r="M138" s="499" t="s">
        <v>3106</v>
      </c>
      <c r="N138" s="40"/>
      <c r="O138" s="524">
        <f>SUM(O133:O137)</f>
        <v>0</v>
      </c>
      <c r="P138" s="524">
        <f>SUM(P133:P137)</f>
        <v>0</v>
      </c>
      <c r="Q138" s="524">
        <f>SUM(Q133:Q137)</f>
        <v>0</v>
      </c>
      <c r="R138" s="40"/>
      <c r="S138" s="58"/>
      <c r="T138" s="20"/>
      <c r="Y138" s="293"/>
      <c r="AC138" t="s">
        <v>692</v>
      </c>
      <c r="AL138" s="294"/>
    </row>
    <row r="139" spans="2:38" x14ac:dyDescent="0.3">
      <c r="B139" s="19"/>
      <c r="O139" s="522"/>
      <c r="P139" s="522"/>
      <c r="Q139" s="522"/>
      <c r="T139" s="20"/>
      <c r="Y139" s="293"/>
      <c r="AL139" s="294"/>
    </row>
    <row r="140" spans="2:38" ht="15.6" x14ac:dyDescent="0.3">
      <c r="B140" s="19"/>
      <c r="C140" s="662" t="s">
        <v>3109</v>
      </c>
      <c r="D140" s="663"/>
      <c r="E140" s="663"/>
      <c r="F140" s="663"/>
      <c r="G140" s="663"/>
      <c r="H140" s="663"/>
      <c r="I140" s="663"/>
      <c r="J140" s="663"/>
      <c r="K140" s="663"/>
      <c r="L140" s="663"/>
      <c r="M140" s="663"/>
      <c r="N140" s="52"/>
      <c r="O140" s="525"/>
      <c r="P140" s="525"/>
      <c r="Q140" s="525"/>
      <c r="R140" s="52"/>
      <c r="S140" s="53"/>
      <c r="T140" s="20"/>
      <c r="Y140" s="293"/>
      <c r="AC140" t="s">
        <v>679</v>
      </c>
      <c r="AD140" s="42" t="str">
        <f>cRegion</f>
        <v/>
      </c>
      <c r="AH140" s="679" t="s">
        <v>693</v>
      </c>
      <c r="AI140" s="679"/>
      <c r="AJ140" s="679"/>
      <c r="AK140" s="679"/>
      <c r="AL140" s="294"/>
    </row>
    <row r="141" spans="2:38" ht="15.6" x14ac:dyDescent="0.3">
      <c r="B141" s="19"/>
      <c r="C141" s="326"/>
      <c r="D141" s="327"/>
      <c r="E141" s="327"/>
      <c r="F141" s="327"/>
      <c r="G141" s="327"/>
      <c r="H141" s="327"/>
      <c r="I141" s="327"/>
      <c r="J141" s="327"/>
      <c r="K141" s="327"/>
      <c r="L141" s="327"/>
      <c r="M141" s="327"/>
      <c r="O141" s="522"/>
      <c r="P141" s="522"/>
      <c r="Q141" s="522"/>
      <c r="S141" s="55"/>
      <c r="T141" s="20"/>
      <c r="Y141" s="293"/>
      <c r="AD141" s="42"/>
      <c r="AH141" s="169"/>
      <c r="AI141" s="169"/>
      <c r="AJ141" s="169"/>
      <c r="AK141" s="169"/>
      <c r="AL141" s="294"/>
    </row>
    <row r="142" spans="2:38" x14ac:dyDescent="0.3">
      <c r="B142" s="19"/>
      <c r="C142" s="502" t="s">
        <v>122</v>
      </c>
      <c r="D142" s="47"/>
      <c r="E142" s="47"/>
      <c r="F142" s="47"/>
      <c r="G142" s="47"/>
      <c r="H142" s="47"/>
      <c r="I142" s="47"/>
      <c r="J142" s="47"/>
      <c r="K142" s="47"/>
      <c r="L142" s="47"/>
      <c r="M142" s="47"/>
      <c r="N142" s="43"/>
      <c r="O142" s="523"/>
      <c r="P142" s="523"/>
      <c r="Q142" s="523"/>
      <c r="S142" s="55"/>
      <c r="T142" s="20"/>
      <c r="Y142" s="293"/>
      <c r="AC142" s="678" t="s">
        <v>682</v>
      </c>
      <c r="AD142" s="678"/>
      <c r="AE142" s="678" t="s">
        <v>683</v>
      </c>
      <c r="AF142" s="678"/>
      <c r="AH142" s="678" t="s">
        <v>682</v>
      </c>
      <c r="AI142" s="678"/>
      <c r="AJ142" s="678" t="s">
        <v>683</v>
      </c>
      <c r="AK142" s="678"/>
      <c r="AL142" s="294"/>
    </row>
    <row r="143" spans="2:38" x14ac:dyDescent="0.3">
      <c r="B143" s="19"/>
      <c r="C143" s="64"/>
      <c r="O143" s="527"/>
      <c r="P143" s="527"/>
      <c r="Q143" s="527"/>
      <c r="S143" s="55"/>
      <c r="T143" s="20"/>
      <c r="Y143" s="293"/>
      <c r="AC143" s="94"/>
      <c r="AD143" s="94"/>
      <c r="AE143" s="94"/>
      <c r="AF143" s="94"/>
      <c r="AH143" s="94"/>
      <c r="AI143" s="94"/>
      <c r="AJ143" s="94"/>
      <c r="AK143" s="94"/>
      <c r="AL143" s="294"/>
    </row>
    <row r="144" spans="2:38" x14ac:dyDescent="0.3">
      <c r="B144" s="19"/>
      <c r="C144" s="63" t="s">
        <v>125</v>
      </c>
      <c r="D144" s="40"/>
      <c r="O144" s="528"/>
      <c r="P144" s="528"/>
      <c r="Q144" s="528"/>
      <c r="S144" s="55"/>
      <c r="T144" s="20"/>
      <c r="Y144" s="293" t="s">
        <v>691</v>
      </c>
      <c r="Z144" t="s">
        <v>690</v>
      </c>
      <c r="AC144" t="s">
        <v>680</v>
      </c>
      <c r="AD144" t="s">
        <v>681</v>
      </c>
      <c r="AE144" t="s">
        <v>680</v>
      </c>
      <c r="AF144" t="s">
        <v>681</v>
      </c>
      <c r="AH144" s="65" t="s">
        <v>680</v>
      </c>
      <c r="AI144" s="65" t="s">
        <v>681</v>
      </c>
      <c r="AJ144" s="65" t="s">
        <v>680</v>
      </c>
      <c r="AK144" s="65" t="s">
        <v>681</v>
      </c>
      <c r="AL144" s="294"/>
    </row>
    <row r="145" spans="2:38" x14ac:dyDescent="0.3">
      <c r="B145" s="19"/>
      <c r="C145" s="64"/>
      <c r="D145" s="65" t="s">
        <v>185</v>
      </c>
      <c r="E145" s="669"/>
      <c r="F145" s="670"/>
      <c r="G145" s="671"/>
      <c r="H145" s="60"/>
      <c r="I145" s="47"/>
      <c r="J145" s="47"/>
      <c r="K145" s="47"/>
      <c r="L145" s="47"/>
      <c r="M145" s="47"/>
      <c r="N145" s="47"/>
      <c r="O145" s="523"/>
      <c r="P145" s="523"/>
      <c r="Q145" s="523"/>
      <c r="S145" s="55"/>
      <c r="T145" s="20"/>
      <c r="U145" s="118" t="str">
        <f t="shared" ref="U145:U159" si="8">IF(AND(E145&lt;&gt;"",O145=""),"La surface de la campagne "&amp;cCampagneN&amp;" pour "&amp;E145&amp;" ne doit pas être vide",IF(AND(E145="",O145&lt;&gt;""),"Le choix du verger ne doit pas être vide si la surface est renseignée pour la campagne "&amp;cCampagneN,""))</f>
        <v/>
      </c>
      <c r="Y145" s="293" t="str">
        <f>$AD$140&amp;AA145&amp;AB145</f>
        <v>0</v>
      </c>
      <c r="Z145" t="str">
        <f>$AD$140&amp;AB145</f>
        <v/>
      </c>
      <c r="AA145" s="194">
        <f t="shared" ref="AA145:AA159" si="9">E145</f>
        <v>0</v>
      </c>
      <c r="AB145" s="194" t="str">
        <f>IF(AA145&lt;&gt;0,INDEX(Listes!V:V,MATCH(Surfaces!AA145,Listes!U:U,0)),"")</f>
        <v/>
      </c>
      <c r="AC145" s="295">
        <f>IFERROR(INDEX(Scoring_Arboriculture!H:H,MATCH(Surfaces!Z145,Scoring_Arboriculture!B:B,0)),0)</f>
        <v>0</v>
      </c>
      <c r="AD145" s="295">
        <f>IFERROR(INDEX(Scoring_Arboriculture!I:I,MATCH(Surfaces!Z145,Scoring_Arboriculture!B:B,0)),0)</f>
        <v>0</v>
      </c>
      <c r="AE145" s="295">
        <f>IFERROR(INDEX(Scoring_Arboriculture!J:J,MATCH(Surfaces!Z145,Scoring_Arboriculture!B:B,0)),0)</f>
        <v>0</v>
      </c>
      <c r="AF145" s="295">
        <f>IFERROR(INDEX(Scoring_Arboriculture!K:K,MATCH(Surfaces!Z145,Scoring_Arboriculture!B:B,0)),0)</f>
        <v>0</v>
      </c>
      <c r="AH145" s="306">
        <f>IFERROR(INDEX(Scoring_Arboriculture!S:S,MATCH(Surfaces!Z145,Scoring_Arboriculture!M:M,0)),0)</f>
        <v>0</v>
      </c>
      <c r="AI145" s="306">
        <f>IFERROR(INDEX(Scoring_Arboriculture!T:T,MATCH(Surfaces!Z145,Scoring_Arboriculture!M:M,0)),0)</f>
        <v>0</v>
      </c>
      <c r="AJ145" s="306">
        <f>IFERROR(INDEX(Scoring_Arboriculture!U:U,MATCH(Surfaces!Z145,Scoring_Arboriculture!M:M,0)),0)</f>
        <v>0</v>
      </c>
      <c r="AK145" s="306">
        <f>IFERROR(INDEX(Scoring_Arboriculture!V:V,MATCH(Surfaces!Z145,Scoring_Arboriculture!M:M,0)),0)</f>
        <v>0</v>
      </c>
      <c r="AL145" s="294"/>
    </row>
    <row r="146" spans="2:38" x14ac:dyDescent="0.3">
      <c r="B146" s="19"/>
      <c r="C146" s="64"/>
      <c r="D146" s="65" t="s">
        <v>186</v>
      </c>
      <c r="E146" s="669"/>
      <c r="F146" s="670"/>
      <c r="G146" s="671"/>
      <c r="H146" s="48"/>
      <c r="I146" s="48"/>
      <c r="J146" s="48"/>
      <c r="K146" s="48"/>
      <c r="L146" s="48"/>
      <c r="M146" s="48"/>
      <c r="N146" s="48"/>
      <c r="O146" s="523"/>
      <c r="P146" s="523"/>
      <c r="Q146" s="523"/>
      <c r="S146" s="55"/>
      <c r="T146" s="20"/>
      <c r="U146" s="118" t="str">
        <f t="shared" si="8"/>
        <v/>
      </c>
      <c r="Y146" s="293" t="str">
        <f t="shared" ref="Y146:Y159" si="10">$AD$140&amp;AA146&amp;AB146</f>
        <v>0</v>
      </c>
      <c r="Z146" t="str">
        <f t="shared" ref="Z146:Z159" si="11">$AD$140&amp;AB146</f>
        <v/>
      </c>
      <c r="AA146" s="194">
        <f t="shared" si="9"/>
        <v>0</v>
      </c>
      <c r="AB146" s="194" t="str">
        <f>IF(AA146&lt;&gt;0,INDEX(Listes!V:V,MATCH(Surfaces!AA146,Listes!U:U,0)),"")</f>
        <v/>
      </c>
      <c r="AC146" s="295">
        <f>IFERROR(INDEX(Scoring_Arboriculture!H:H,MATCH(Surfaces!Z146,Scoring_Arboriculture!B:B,0)),0)</f>
        <v>0</v>
      </c>
      <c r="AD146" s="295">
        <f>IFERROR(INDEX(Scoring_Arboriculture!I:I,MATCH(Surfaces!Z146,Scoring_Arboriculture!B:B,0)),0)</f>
        <v>0</v>
      </c>
      <c r="AE146" s="295">
        <f>IFERROR(INDEX(Scoring_Arboriculture!J:J,MATCH(Surfaces!Z146,Scoring_Arboriculture!B:B,0)),0)</f>
        <v>0</v>
      </c>
      <c r="AF146" s="295">
        <f>IFERROR(INDEX(Scoring_Arboriculture!K:K,MATCH(Surfaces!Z146,Scoring_Arboriculture!B:B,0)),0)</f>
        <v>0</v>
      </c>
      <c r="AH146" s="306">
        <f>IFERROR(INDEX(Scoring_Arboriculture!S:S,MATCH(Surfaces!Z146,Scoring_Arboriculture!M:M,0)),0)</f>
        <v>0</v>
      </c>
      <c r="AI146" s="306">
        <f>IFERROR(INDEX(Scoring_Arboriculture!T:T,MATCH(Surfaces!Z146,Scoring_Arboriculture!M:M,0)),0)</f>
        <v>0</v>
      </c>
      <c r="AJ146" s="306">
        <f>IFERROR(INDEX(Scoring_Arboriculture!U:U,MATCH(Surfaces!Z146,Scoring_Arboriculture!M:M,0)),0)</f>
        <v>0</v>
      </c>
      <c r="AK146" s="306">
        <f>IFERROR(INDEX(Scoring_Arboriculture!V:V,MATCH(Surfaces!Z146,Scoring_Arboriculture!M:M,0)),0)</f>
        <v>0</v>
      </c>
      <c r="AL146" s="294"/>
    </row>
    <row r="147" spans="2:38" x14ac:dyDescent="0.3">
      <c r="B147" s="19"/>
      <c r="C147" s="64"/>
      <c r="D147" s="65" t="s">
        <v>187</v>
      </c>
      <c r="E147" s="669"/>
      <c r="F147" s="670"/>
      <c r="G147" s="671"/>
      <c r="H147" s="48"/>
      <c r="I147" s="48"/>
      <c r="J147" s="48"/>
      <c r="K147" s="48"/>
      <c r="L147" s="48"/>
      <c r="M147" s="48"/>
      <c r="N147" s="48"/>
      <c r="O147" s="523"/>
      <c r="P147" s="523"/>
      <c r="Q147" s="523"/>
      <c r="S147" s="55"/>
      <c r="T147" s="20"/>
      <c r="U147" s="118" t="str">
        <f t="shared" si="8"/>
        <v/>
      </c>
      <c r="Y147" s="293" t="str">
        <f t="shared" si="10"/>
        <v>0</v>
      </c>
      <c r="Z147" t="str">
        <f t="shared" si="11"/>
        <v/>
      </c>
      <c r="AA147" s="194">
        <f t="shared" si="9"/>
        <v>0</v>
      </c>
      <c r="AB147" s="194" t="str">
        <f>IF(AA147&lt;&gt;0,INDEX(Listes!V:V,MATCH(Surfaces!AA147,Listes!U:U,0)),"")</f>
        <v/>
      </c>
      <c r="AC147" s="295">
        <f>IFERROR(INDEX(Scoring_Arboriculture!H:H,MATCH(Surfaces!Z147,Scoring_Arboriculture!B:B,0)),0)</f>
        <v>0</v>
      </c>
      <c r="AD147" s="295">
        <f>IFERROR(INDEX(Scoring_Arboriculture!I:I,MATCH(Surfaces!Z147,Scoring_Arboriculture!B:B,0)),0)</f>
        <v>0</v>
      </c>
      <c r="AE147" s="295">
        <f>IFERROR(INDEX(Scoring_Arboriculture!J:J,MATCH(Surfaces!Z147,Scoring_Arboriculture!B:B,0)),0)</f>
        <v>0</v>
      </c>
      <c r="AF147" s="295">
        <f>IFERROR(INDEX(Scoring_Arboriculture!K:K,MATCH(Surfaces!Z147,Scoring_Arboriculture!B:B,0)),0)</f>
        <v>0</v>
      </c>
      <c r="AH147" s="306">
        <f>IFERROR(INDEX(Scoring_Arboriculture!S:S,MATCH(Surfaces!Z147,Scoring_Arboriculture!M:M,0)),0)</f>
        <v>0</v>
      </c>
      <c r="AI147" s="306">
        <f>IFERROR(INDEX(Scoring_Arboriculture!T:T,MATCH(Surfaces!Z147,Scoring_Arboriculture!M:M,0)),0)</f>
        <v>0</v>
      </c>
      <c r="AJ147" s="306">
        <f>IFERROR(INDEX(Scoring_Arboriculture!U:U,MATCH(Surfaces!Z147,Scoring_Arboriculture!M:M,0)),0)</f>
        <v>0</v>
      </c>
      <c r="AK147" s="306">
        <f>IFERROR(INDEX(Scoring_Arboriculture!V:V,MATCH(Surfaces!Z147,Scoring_Arboriculture!M:M,0)),0)</f>
        <v>0</v>
      </c>
      <c r="AL147" s="294"/>
    </row>
    <row r="148" spans="2:38" x14ac:dyDescent="0.3">
      <c r="B148" s="19"/>
      <c r="C148" s="64"/>
      <c r="D148" s="65" t="s">
        <v>188</v>
      </c>
      <c r="E148" s="669"/>
      <c r="F148" s="670"/>
      <c r="G148" s="671"/>
      <c r="H148" s="48"/>
      <c r="I148" s="48"/>
      <c r="J148" s="48"/>
      <c r="K148" s="48"/>
      <c r="L148" s="48"/>
      <c r="M148" s="48"/>
      <c r="N148" s="48"/>
      <c r="O148" s="523"/>
      <c r="P148" s="523"/>
      <c r="Q148" s="523"/>
      <c r="S148" s="55"/>
      <c r="T148" s="20"/>
      <c r="U148" s="118" t="str">
        <f t="shared" si="8"/>
        <v/>
      </c>
      <c r="Y148" s="293" t="str">
        <f t="shared" si="10"/>
        <v>0</v>
      </c>
      <c r="Z148" t="str">
        <f t="shared" si="11"/>
        <v/>
      </c>
      <c r="AA148" s="194">
        <f t="shared" si="9"/>
        <v>0</v>
      </c>
      <c r="AB148" s="194" t="str">
        <f>IF(AA148&lt;&gt;0,INDEX(Listes!V:V,MATCH(Surfaces!AA148,Listes!U:U,0)),"")</f>
        <v/>
      </c>
      <c r="AC148" s="295">
        <f>IFERROR(INDEX(Scoring_Arboriculture!H:H,MATCH(Surfaces!Z148,Scoring_Arboriculture!B:B,0)),0)</f>
        <v>0</v>
      </c>
      <c r="AD148" s="295">
        <f>IFERROR(INDEX(Scoring_Arboriculture!I:I,MATCH(Surfaces!Z148,Scoring_Arboriculture!B:B,0)),0)</f>
        <v>0</v>
      </c>
      <c r="AE148" s="295">
        <f>IFERROR(INDEX(Scoring_Arboriculture!J:J,MATCH(Surfaces!Z148,Scoring_Arboriculture!B:B,0)),0)</f>
        <v>0</v>
      </c>
      <c r="AF148" s="295">
        <f>IFERROR(INDEX(Scoring_Arboriculture!K:K,MATCH(Surfaces!Z148,Scoring_Arboriculture!B:B,0)),0)</f>
        <v>0</v>
      </c>
      <c r="AH148" s="306">
        <f>IFERROR(INDEX(Scoring_Arboriculture!S:S,MATCH(Surfaces!Z148,Scoring_Arboriculture!M:M,0)),0)</f>
        <v>0</v>
      </c>
      <c r="AI148" s="306">
        <f>IFERROR(INDEX(Scoring_Arboriculture!T:T,MATCH(Surfaces!Z148,Scoring_Arboriculture!M:M,0)),0)</f>
        <v>0</v>
      </c>
      <c r="AJ148" s="306">
        <f>IFERROR(INDEX(Scoring_Arboriculture!U:U,MATCH(Surfaces!Z148,Scoring_Arboriculture!M:M,0)),0)</f>
        <v>0</v>
      </c>
      <c r="AK148" s="306">
        <f>IFERROR(INDEX(Scoring_Arboriculture!V:V,MATCH(Surfaces!Z148,Scoring_Arboriculture!M:M,0)),0)</f>
        <v>0</v>
      </c>
      <c r="AL148" s="294"/>
    </row>
    <row r="149" spans="2:38" x14ac:dyDescent="0.3">
      <c r="B149" s="19"/>
      <c r="C149" s="64"/>
      <c r="D149" s="65" t="s">
        <v>189</v>
      </c>
      <c r="E149" s="669"/>
      <c r="F149" s="670"/>
      <c r="G149" s="671"/>
      <c r="H149" s="48"/>
      <c r="I149" s="48"/>
      <c r="J149" s="48"/>
      <c r="K149" s="48"/>
      <c r="L149" s="48"/>
      <c r="M149" s="48"/>
      <c r="N149" s="48"/>
      <c r="O149" s="523"/>
      <c r="P149" s="523"/>
      <c r="Q149" s="523"/>
      <c r="S149" s="55"/>
      <c r="T149" s="20"/>
      <c r="U149" s="118" t="str">
        <f t="shared" si="8"/>
        <v/>
      </c>
      <c r="Y149" s="293" t="str">
        <f t="shared" si="10"/>
        <v>0</v>
      </c>
      <c r="Z149" t="str">
        <f t="shared" si="11"/>
        <v/>
      </c>
      <c r="AA149" s="194">
        <f t="shared" si="9"/>
        <v>0</v>
      </c>
      <c r="AB149" s="194" t="str">
        <f>IF(AA149&lt;&gt;0,INDEX(Listes!V:V,MATCH(Surfaces!AA149,Listes!U:U,0)),"")</f>
        <v/>
      </c>
      <c r="AC149" s="295">
        <f>IFERROR(INDEX(Scoring_Arboriculture!H:H,MATCH(Surfaces!Z149,Scoring_Arboriculture!B:B,0)),0)</f>
        <v>0</v>
      </c>
      <c r="AD149" s="295">
        <f>IFERROR(INDEX(Scoring_Arboriculture!I:I,MATCH(Surfaces!Z149,Scoring_Arboriculture!B:B,0)),0)</f>
        <v>0</v>
      </c>
      <c r="AE149" s="295">
        <f>IFERROR(INDEX(Scoring_Arboriculture!J:J,MATCH(Surfaces!Z149,Scoring_Arboriculture!B:B,0)),0)</f>
        <v>0</v>
      </c>
      <c r="AF149" s="295">
        <f>IFERROR(INDEX(Scoring_Arboriculture!K:K,MATCH(Surfaces!Z149,Scoring_Arboriculture!B:B,0)),0)</f>
        <v>0</v>
      </c>
      <c r="AH149" s="306">
        <f>IFERROR(INDEX(Scoring_Arboriculture!S:S,MATCH(Surfaces!Z149,Scoring_Arboriculture!M:M,0)),0)</f>
        <v>0</v>
      </c>
      <c r="AI149" s="306">
        <f>IFERROR(INDEX(Scoring_Arboriculture!T:T,MATCH(Surfaces!Z149,Scoring_Arboriculture!M:M,0)),0)</f>
        <v>0</v>
      </c>
      <c r="AJ149" s="306">
        <f>IFERROR(INDEX(Scoring_Arboriculture!U:U,MATCH(Surfaces!Z149,Scoring_Arboriculture!M:M,0)),0)</f>
        <v>0</v>
      </c>
      <c r="AK149" s="306">
        <f>IFERROR(INDEX(Scoring_Arboriculture!V:V,MATCH(Surfaces!Z149,Scoring_Arboriculture!M:M,0)),0)</f>
        <v>0</v>
      </c>
      <c r="AL149" s="294"/>
    </row>
    <row r="150" spans="2:38" x14ac:dyDescent="0.3">
      <c r="B150" s="19"/>
      <c r="C150" s="64"/>
      <c r="D150" s="65" t="s">
        <v>190</v>
      </c>
      <c r="E150" s="669"/>
      <c r="F150" s="670"/>
      <c r="G150" s="671"/>
      <c r="H150" s="48"/>
      <c r="I150" s="48"/>
      <c r="J150" s="48"/>
      <c r="K150" s="48"/>
      <c r="L150" s="48"/>
      <c r="M150" s="48"/>
      <c r="N150" s="48"/>
      <c r="O150" s="523"/>
      <c r="P150" s="523"/>
      <c r="Q150" s="523"/>
      <c r="S150" s="55"/>
      <c r="T150" s="20"/>
      <c r="U150" s="118" t="str">
        <f t="shared" si="8"/>
        <v/>
      </c>
      <c r="Y150" s="293" t="str">
        <f t="shared" si="10"/>
        <v>0</v>
      </c>
      <c r="Z150" t="str">
        <f t="shared" si="11"/>
        <v/>
      </c>
      <c r="AA150" s="194">
        <f t="shared" si="9"/>
        <v>0</v>
      </c>
      <c r="AB150" s="194" t="str">
        <f>IF(AA150&lt;&gt;0,INDEX(Listes!V:V,MATCH(Surfaces!AA150,Listes!U:U,0)),"")</f>
        <v/>
      </c>
      <c r="AC150" s="295">
        <f>IFERROR(INDEX(Scoring_Arboriculture!H:H,MATCH(Surfaces!Z150,Scoring_Arboriculture!B:B,0)),0)</f>
        <v>0</v>
      </c>
      <c r="AD150" s="295">
        <f>IFERROR(INDEX(Scoring_Arboriculture!I:I,MATCH(Surfaces!Z150,Scoring_Arboriculture!B:B,0)),0)</f>
        <v>0</v>
      </c>
      <c r="AE150" s="295">
        <f>IFERROR(INDEX(Scoring_Arboriculture!J:J,MATCH(Surfaces!Z150,Scoring_Arboriculture!B:B,0)),0)</f>
        <v>0</v>
      </c>
      <c r="AF150" s="295">
        <f>IFERROR(INDEX(Scoring_Arboriculture!K:K,MATCH(Surfaces!Z150,Scoring_Arboriculture!B:B,0)),0)</f>
        <v>0</v>
      </c>
      <c r="AH150" s="306">
        <f>IFERROR(INDEX(Scoring_Arboriculture!S:S,MATCH(Surfaces!Z150,Scoring_Arboriculture!M:M,0)),0)</f>
        <v>0</v>
      </c>
      <c r="AI150" s="306">
        <f>IFERROR(INDEX(Scoring_Arboriculture!T:T,MATCH(Surfaces!Z150,Scoring_Arboriculture!M:M,0)),0)</f>
        <v>0</v>
      </c>
      <c r="AJ150" s="306">
        <f>IFERROR(INDEX(Scoring_Arboriculture!U:U,MATCH(Surfaces!Z150,Scoring_Arboriculture!M:M,0)),0)</f>
        <v>0</v>
      </c>
      <c r="AK150" s="306">
        <f>IFERROR(INDEX(Scoring_Arboriculture!V:V,MATCH(Surfaces!Z150,Scoring_Arboriculture!M:M,0)),0)</f>
        <v>0</v>
      </c>
      <c r="AL150" s="294"/>
    </row>
    <row r="151" spans="2:38" x14ac:dyDescent="0.3">
      <c r="B151" s="19"/>
      <c r="C151" s="64"/>
      <c r="D151" s="65" t="s">
        <v>191</v>
      </c>
      <c r="E151" s="669"/>
      <c r="F151" s="670"/>
      <c r="G151" s="671"/>
      <c r="H151" s="48"/>
      <c r="I151" s="48"/>
      <c r="J151" s="48"/>
      <c r="K151" s="48"/>
      <c r="L151" s="48"/>
      <c r="M151" s="48"/>
      <c r="N151" s="48"/>
      <c r="O151" s="523"/>
      <c r="P151" s="523"/>
      <c r="Q151" s="523"/>
      <c r="S151" s="55"/>
      <c r="T151" s="20"/>
      <c r="U151" s="118" t="str">
        <f t="shared" si="8"/>
        <v/>
      </c>
      <c r="Y151" s="293" t="str">
        <f t="shared" si="10"/>
        <v>0</v>
      </c>
      <c r="Z151" t="str">
        <f t="shared" si="11"/>
        <v/>
      </c>
      <c r="AA151" s="194">
        <f t="shared" si="9"/>
        <v>0</v>
      </c>
      <c r="AB151" s="194" t="str">
        <f>IF(AA151&lt;&gt;0,INDEX(Listes!V:V,MATCH(Surfaces!AA151,Listes!U:U,0)),"")</f>
        <v/>
      </c>
      <c r="AC151" s="295">
        <f>IFERROR(INDEX(Scoring_Arboriculture!H:H,MATCH(Surfaces!Z151,Scoring_Arboriculture!B:B,0)),0)</f>
        <v>0</v>
      </c>
      <c r="AD151" s="295">
        <f>IFERROR(INDEX(Scoring_Arboriculture!I:I,MATCH(Surfaces!Z151,Scoring_Arboriculture!B:B,0)),0)</f>
        <v>0</v>
      </c>
      <c r="AE151" s="295">
        <f>IFERROR(INDEX(Scoring_Arboriculture!J:J,MATCH(Surfaces!Z151,Scoring_Arboriculture!B:B,0)),0)</f>
        <v>0</v>
      </c>
      <c r="AF151" s="295">
        <f>IFERROR(INDEX(Scoring_Arboriculture!K:K,MATCH(Surfaces!Z151,Scoring_Arboriculture!B:B,0)),0)</f>
        <v>0</v>
      </c>
      <c r="AH151" s="306">
        <f>IFERROR(INDEX(Scoring_Arboriculture!S:S,MATCH(Surfaces!Z151,Scoring_Arboriculture!M:M,0)),0)</f>
        <v>0</v>
      </c>
      <c r="AI151" s="306">
        <f>IFERROR(INDEX(Scoring_Arboriculture!T:T,MATCH(Surfaces!Z151,Scoring_Arboriculture!M:M,0)),0)</f>
        <v>0</v>
      </c>
      <c r="AJ151" s="306">
        <f>IFERROR(INDEX(Scoring_Arboriculture!U:U,MATCH(Surfaces!Z151,Scoring_Arboriculture!M:M,0)),0)</f>
        <v>0</v>
      </c>
      <c r="AK151" s="306">
        <f>IFERROR(INDEX(Scoring_Arboriculture!V:V,MATCH(Surfaces!Z151,Scoring_Arboriculture!M:M,0)),0)</f>
        <v>0</v>
      </c>
      <c r="AL151" s="294"/>
    </row>
    <row r="152" spans="2:38" x14ac:dyDescent="0.3">
      <c r="B152" s="19"/>
      <c r="C152" s="64"/>
      <c r="D152" s="65" t="s">
        <v>192</v>
      </c>
      <c r="E152" s="669"/>
      <c r="F152" s="670"/>
      <c r="G152" s="671"/>
      <c r="H152" s="48"/>
      <c r="I152" s="48"/>
      <c r="J152" s="48"/>
      <c r="K152" s="48"/>
      <c r="L152" s="48"/>
      <c r="M152" s="48"/>
      <c r="N152" s="48"/>
      <c r="O152" s="523"/>
      <c r="P152" s="523"/>
      <c r="Q152" s="523"/>
      <c r="S152" s="55"/>
      <c r="T152" s="20"/>
      <c r="U152" s="118" t="str">
        <f t="shared" si="8"/>
        <v/>
      </c>
      <c r="Y152" s="293" t="str">
        <f t="shared" si="10"/>
        <v>0</v>
      </c>
      <c r="Z152" t="str">
        <f t="shared" si="11"/>
        <v/>
      </c>
      <c r="AA152" s="194">
        <f t="shared" si="9"/>
        <v>0</v>
      </c>
      <c r="AB152" s="194" t="str">
        <f>IF(AA152&lt;&gt;0,INDEX(Listes!V:V,MATCH(Surfaces!AA152,Listes!U:U,0)),"")</f>
        <v/>
      </c>
      <c r="AC152" s="295">
        <f>IFERROR(INDEX(Scoring_Arboriculture!H:H,MATCH(Surfaces!Z152,Scoring_Arboriculture!B:B,0)),0)</f>
        <v>0</v>
      </c>
      <c r="AD152" s="295">
        <f>IFERROR(INDEX(Scoring_Arboriculture!I:I,MATCH(Surfaces!Z152,Scoring_Arboriculture!B:B,0)),0)</f>
        <v>0</v>
      </c>
      <c r="AE152" s="295">
        <f>IFERROR(INDEX(Scoring_Arboriculture!J:J,MATCH(Surfaces!Z152,Scoring_Arboriculture!B:B,0)),0)</f>
        <v>0</v>
      </c>
      <c r="AF152" s="295">
        <f>IFERROR(INDEX(Scoring_Arboriculture!K:K,MATCH(Surfaces!Z152,Scoring_Arboriculture!B:B,0)),0)</f>
        <v>0</v>
      </c>
      <c r="AH152" s="306">
        <f>IFERROR(INDEX(Scoring_Arboriculture!S:S,MATCH(Surfaces!Z152,Scoring_Arboriculture!M:M,0)),0)</f>
        <v>0</v>
      </c>
      <c r="AI152" s="306">
        <f>IFERROR(INDEX(Scoring_Arboriculture!T:T,MATCH(Surfaces!Z152,Scoring_Arboriculture!M:M,0)),0)</f>
        <v>0</v>
      </c>
      <c r="AJ152" s="306">
        <f>IFERROR(INDEX(Scoring_Arboriculture!U:U,MATCH(Surfaces!Z152,Scoring_Arboriculture!M:M,0)),0)</f>
        <v>0</v>
      </c>
      <c r="AK152" s="306">
        <f>IFERROR(INDEX(Scoring_Arboriculture!V:V,MATCH(Surfaces!Z152,Scoring_Arboriculture!M:M,0)),0)</f>
        <v>0</v>
      </c>
      <c r="AL152" s="294"/>
    </row>
    <row r="153" spans="2:38" x14ac:dyDescent="0.3">
      <c r="B153" s="19"/>
      <c r="C153" s="64"/>
      <c r="D153" s="65" t="s">
        <v>193</v>
      </c>
      <c r="E153" s="669"/>
      <c r="F153" s="670"/>
      <c r="G153" s="671"/>
      <c r="H153" s="48"/>
      <c r="I153" s="48"/>
      <c r="J153" s="48"/>
      <c r="K153" s="48"/>
      <c r="L153" s="48"/>
      <c r="M153" s="48"/>
      <c r="N153" s="48"/>
      <c r="O153" s="523"/>
      <c r="P153" s="523"/>
      <c r="Q153" s="523"/>
      <c r="S153" s="55"/>
      <c r="T153" s="20"/>
      <c r="U153" s="118" t="str">
        <f t="shared" si="8"/>
        <v/>
      </c>
      <c r="Y153" s="293" t="str">
        <f t="shared" si="10"/>
        <v>0</v>
      </c>
      <c r="Z153" t="str">
        <f t="shared" si="11"/>
        <v/>
      </c>
      <c r="AA153" s="194">
        <f t="shared" si="9"/>
        <v>0</v>
      </c>
      <c r="AB153" s="194" t="str">
        <f>IF(AA153&lt;&gt;0,INDEX(Listes!V:V,MATCH(Surfaces!AA153,Listes!U:U,0)),"")</f>
        <v/>
      </c>
      <c r="AC153" s="295">
        <f>IFERROR(INDEX(Scoring_Arboriculture!H:H,MATCH(Surfaces!Z153,Scoring_Arboriculture!B:B,0)),0)</f>
        <v>0</v>
      </c>
      <c r="AD153" s="295">
        <f>IFERROR(INDEX(Scoring_Arboriculture!I:I,MATCH(Surfaces!Z153,Scoring_Arboriculture!B:B,0)),0)</f>
        <v>0</v>
      </c>
      <c r="AE153" s="295">
        <f>IFERROR(INDEX(Scoring_Arboriculture!J:J,MATCH(Surfaces!Z153,Scoring_Arboriculture!B:B,0)),0)</f>
        <v>0</v>
      </c>
      <c r="AF153" s="295">
        <f>IFERROR(INDEX(Scoring_Arboriculture!K:K,MATCH(Surfaces!Z153,Scoring_Arboriculture!B:B,0)),0)</f>
        <v>0</v>
      </c>
      <c r="AH153" s="306">
        <f>IFERROR(INDEX(Scoring_Arboriculture!S:S,MATCH(Surfaces!Z153,Scoring_Arboriculture!M:M,0)),0)</f>
        <v>0</v>
      </c>
      <c r="AI153" s="306">
        <f>IFERROR(INDEX(Scoring_Arboriculture!T:T,MATCH(Surfaces!Z153,Scoring_Arboriculture!M:M,0)),0)</f>
        <v>0</v>
      </c>
      <c r="AJ153" s="306">
        <f>IFERROR(INDEX(Scoring_Arboriculture!U:U,MATCH(Surfaces!Z153,Scoring_Arboriculture!M:M,0)),0)</f>
        <v>0</v>
      </c>
      <c r="AK153" s="306">
        <f>IFERROR(INDEX(Scoring_Arboriculture!V:V,MATCH(Surfaces!Z153,Scoring_Arboriculture!M:M,0)),0)</f>
        <v>0</v>
      </c>
      <c r="AL153" s="294"/>
    </row>
    <row r="154" spans="2:38" x14ac:dyDescent="0.3">
      <c r="B154" s="19"/>
      <c r="C154" s="64"/>
      <c r="D154" s="65" t="s">
        <v>194</v>
      </c>
      <c r="E154" s="669"/>
      <c r="F154" s="670"/>
      <c r="G154" s="671"/>
      <c r="H154" s="48"/>
      <c r="I154" s="48"/>
      <c r="J154" s="48"/>
      <c r="K154" s="48"/>
      <c r="L154" s="48"/>
      <c r="M154" s="48"/>
      <c r="N154" s="48"/>
      <c r="O154" s="523"/>
      <c r="P154" s="523"/>
      <c r="Q154" s="523"/>
      <c r="S154" s="55"/>
      <c r="T154" s="20"/>
      <c r="U154" s="118" t="str">
        <f t="shared" si="8"/>
        <v/>
      </c>
      <c r="Y154" s="293" t="str">
        <f t="shared" si="10"/>
        <v>0</v>
      </c>
      <c r="Z154" t="str">
        <f t="shared" si="11"/>
        <v/>
      </c>
      <c r="AA154" s="194">
        <f t="shared" si="9"/>
        <v>0</v>
      </c>
      <c r="AB154" s="194" t="str">
        <f>IF(AA154&lt;&gt;0,INDEX(Listes!V:V,MATCH(Surfaces!AA154,Listes!U:U,0)),"")</f>
        <v/>
      </c>
      <c r="AC154" s="295">
        <f>IFERROR(INDEX(Scoring_Arboriculture!H:H,MATCH(Surfaces!Z154,Scoring_Arboriculture!B:B,0)),0)</f>
        <v>0</v>
      </c>
      <c r="AD154" s="295">
        <f>IFERROR(INDEX(Scoring_Arboriculture!I:I,MATCH(Surfaces!Z154,Scoring_Arboriculture!B:B,0)),0)</f>
        <v>0</v>
      </c>
      <c r="AE154" s="295">
        <f>IFERROR(INDEX(Scoring_Arboriculture!J:J,MATCH(Surfaces!Z154,Scoring_Arboriculture!B:B,0)),0)</f>
        <v>0</v>
      </c>
      <c r="AF154" s="295">
        <f>IFERROR(INDEX(Scoring_Arboriculture!K:K,MATCH(Surfaces!Z154,Scoring_Arboriculture!B:B,0)),0)</f>
        <v>0</v>
      </c>
      <c r="AH154" s="306">
        <f>IFERROR(INDEX(Scoring_Arboriculture!S:S,MATCH(Surfaces!Z154,Scoring_Arboriculture!M:M,0)),0)</f>
        <v>0</v>
      </c>
      <c r="AI154" s="306">
        <f>IFERROR(INDEX(Scoring_Arboriculture!T:T,MATCH(Surfaces!Z154,Scoring_Arboriculture!M:M,0)),0)</f>
        <v>0</v>
      </c>
      <c r="AJ154" s="306">
        <f>IFERROR(INDEX(Scoring_Arboriculture!U:U,MATCH(Surfaces!Z154,Scoring_Arboriculture!M:M,0)),0)</f>
        <v>0</v>
      </c>
      <c r="AK154" s="306">
        <f>IFERROR(INDEX(Scoring_Arboriculture!V:V,MATCH(Surfaces!Z154,Scoring_Arboriculture!M:M,0)),0)</f>
        <v>0</v>
      </c>
      <c r="AL154" s="294"/>
    </row>
    <row r="155" spans="2:38" x14ac:dyDescent="0.3">
      <c r="B155" s="19"/>
      <c r="C155" s="64"/>
      <c r="D155" s="65" t="s">
        <v>195</v>
      </c>
      <c r="E155" s="669"/>
      <c r="F155" s="670"/>
      <c r="G155" s="671"/>
      <c r="H155" s="48"/>
      <c r="I155" s="48"/>
      <c r="J155" s="48"/>
      <c r="K155" s="48"/>
      <c r="L155" s="48"/>
      <c r="M155" s="48"/>
      <c r="N155" s="48"/>
      <c r="O155" s="523"/>
      <c r="P155" s="523"/>
      <c r="Q155" s="523"/>
      <c r="S155" s="55"/>
      <c r="T155" s="20"/>
      <c r="U155" s="118" t="str">
        <f t="shared" si="8"/>
        <v/>
      </c>
      <c r="Y155" s="293" t="str">
        <f t="shared" si="10"/>
        <v>0</v>
      </c>
      <c r="Z155" t="str">
        <f t="shared" si="11"/>
        <v/>
      </c>
      <c r="AA155" s="194">
        <f t="shared" si="9"/>
        <v>0</v>
      </c>
      <c r="AB155" s="194" t="str">
        <f>IF(AA155&lt;&gt;0,INDEX(Listes!V:V,MATCH(Surfaces!AA155,Listes!U:U,0)),"")</f>
        <v/>
      </c>
      <c r="AC155" s="295">
        <f>IFERROR(INDEX(Scoring_Arboriculture!H:H,MATCH(Surfaces!Z155,Scoring_Arboriculture!B:B,0)),0)</f>
        <v>0</v>
      </c>
      <c r="AD155" s="295">
        <f>IFERROR(INDEX(Scoring_Arboriculture!I:I,MATCH(Surfaces!Z155,Scoring_Arboriculture!B:B,0)),0)</f>
        <v>0</v>
      </c>
      <c r="AE155" s="295">
        <f>IFERROR(INDEX(Scoring_Arboriculture!J:J,MATCH(Surfaces!Z155,Scoring_Arboriculture!B:B,0)),0)</f>
        <v>0</v>
      </c>
      <c r="AF155" s="295">
        <f>IFERROR(INDEX(Scoring_Arboriculture!K:K,MATCH(Surfaces!Z155,Scoring_Arboriculture!B:B,0)),0)</f>
        <v>0</v>
      </c>
      <c r="AH155" s="306">
        <f>IFERROR(INDEX(Scoring_Arboriculture!S:S,MATCH(Surfaces!Z155,Scoring_Arboriculture!M:M,0)),0)</f>
        <v>0</v>
      </c>
      <c r="AI155" s="306">
        <f>IFERROR(INDEX(Scoring_Arboriculture!T:T,MATCH(Surfaces!Z155,Scoring_Arboriculture!M:M,0)),0)</f>
        <v>0</v>
      </c>
      <c r="AJ155" s="306">
        <f>IFERROR(INDEX(Scoring_Arboriculture!U:U,MATCH(Surfaces!Z155,Scoring_Arboriculture!M:M,0)),0)</f>
        <v>0</v>
      </c>
      <c r="AK155" s="306">
        <f>IFERROR(INDEX(Scoring_Arboriculture!V:V,MATCH(Surfaces!Z155,Scoring_Arboriculture!M:M,0)),0)</f>
        <v>0</v>
      </c>
      <c r="AL155" s="294"/>
    </row>
    <row r="156" spans="2:38" x14ac:dyDescent="0.3">
      <c r="B156" s="19"/>
      <c r="C156" s="64"/>
      <c r="D156" s="65" t="s">
        <v>196</v>
      </c>
      <c r="E156" s="669"/>
      <c r="F156" s="670"/>
      <c r="G156" s="671"/>
      <c r="H156" s="48"/>
      <c r="I156" s="48"/>
      <c r="J156" s="48"/>
      <c r="K156" s="48"/>
      <c r="L156" s="48"/>
      <c r="M156" s="48"/>
      <c r="N156" s="48"/>
      <c r="O156" s="523"/>
      <c r="P156" s="523"/>
      <c r="Q156" s="523"/>
      <c r="S156" s="55"/>
      <c r="T156" s="20"/>
      <c r="U156" s="118" t="str">
        <f t="shared" si="8"/>
        <v/>
      </c>
      <c r="Y156" s="293" t="str">
        <f t="shared" si="10"/>
        <v>0</v>
      </c>
      <c r="Z156" t="str">
        <f t="shared" si="11"/>
        <v/>
      </c>
      <c r="AA156" s="194">
        <f t="shared" si="9"/>
        <v>0</v>
      </c>
      <c r="AB156" s="194" t="str">
        <f>IF(AA156&lt;&gt;0,INDEX(Listes!V:V,MATCH(Surfaces!AA156,Listes!U:U,0)),"")</f>
        <v/>
      </c>
      <c r="AC156" s="295">
        <f>IFERROR(INDEX(Scoring_Arboriculture!H:H,MATCH(Surfaces!Z156,Scoring_Arboriculture!B:B,0)),0)</f>
        <v>0</v>
      </c>
      <c r="AD156" s="295">
        <f>IFERROR(INDEX(Scoring_Arboriculture!I:I,MATCH(Surfaces!Z156,Scoring_Arboriculture!B:B,0)),0)</f>
        <v>0</v>
      </c>
      <c r="AE156" s="295">
        <f>IFERROR(INDEX(Scoring_Arboriculture!J:J,MATCH(Surfaces!Z156,Scoring_Arboriculture!B:B,0)),0)</f>
        <v>0</v>
      </c>
      <c r="AF156" s="295">
        <f>IFERROR(INDEX(Scoring_Arboriculture!K:K,MATCH(Surfaces!Z156,Scoring_Arboriculture!B:B,0)),0)</f>
        <v>0</v>
      </c>
      <c r="AH156" s="306">
        <f>IFERROR(INDEX(Scoring_Arboriculture!S:S,MATCH(Surfaces!Z156,Scoring_Arboriculture!M:M,0)),0)</f>
        <v>0</v>
      </c>
      <c r="AI156" s="306">
        <f>IFERROR(INDEX(Scoring_Arboriculture!T:T,MATCH(Surfaces!Z156,Scoring_Arboriculture!M:M,0)),0)</f>
        <v>0</v>
      </c>
      <c r="AJ156" s="306">
        <f>IFERROR(INDEX(Scoring_Arboriculture!U:U,MATCH(Surfaces!Z156,Scoring_Arboriculture!M:M,0)),0)</f>
        <v>0</v>
      </c>
      <c r="AK156" s="306">
        <f>IFERROR(INDEX(Scoring_Arboriculture!V:V,MATCH(Surfaces!Z156,Scoring_Arboriculture!M:M,0)),0)</f>
        <v>0</v>
      </c>
      <c r="AL156" s="294"/>
    </row>
    <row r="157" spans="2:38" x14ac:dyDescent="0.3">
      <c r="B157" s="19"/>
      <c r="C157" s="64"/>
      <c r="D157" s="65" t="s">
        <v>197</v>
      </c>
      <c r="E157" s="669"/>
      <c r="F157" s="670"/>
      <c r="G157" s="671"/>
      <c r="H157" s="48"/>
      <c r="I157" s="48"/>
      <c r="J157" s="48"/>
      <c r="K157" s="48"/>
      <c r="L157" s="48"/>
      <c r="M157" s="48"/>
      <c r="N157" s="48"/>
      <c r="O157" s="523"/>
      <c r="P157" s="523"/>
      <c r="Q157" s="523"/>
      <c r="S157" s="55"/>
      <c r="T157" s="20"/>
      <c r="U157" s="118" t="str">
        <f t="shared" si="8"/>
        <v/>
      </c>
      <c r="Y157" s="293" t="str">
        <f t="shared" si="10"/>
        <v>0</v>
      </c>
      <c r="Z157" t="str">
        <f t="shared" si="11"/>
        <v/>
      </c>
      <c r="AA157" s="194">
        <f t="shared" si="9"/>
        <v>0</v>
      </c>
      <c r="AB157" s="194" t="str">
        <f>IF(AA157&lt;&gt;0,INDEX(Listes!V:V,MATCH(Surfaces!AA157,Listes!U:U,0)),"")</f>
        <v/>
      </c>
      <c r="AC157" s="295">
        <f>IFERROR(INDEX(Scoring_Arboriculture!H:H,MATCH(Surfaces!Z157,Scoring_Arboriculture!B:B,0)),0)</f>
        <v>0</v>
      </c>
      <c r="AD157" s="295">
        <f>IFERROR(INDEX(Scoring_Arboriculture!I:I,MATCH(Surfaces!Z157,Scoring_Arboriculture!B:B,0)),0)</f>
        <v>0</v>
      </c>
      <c r="AE157" s="295">
        <f>IFERROR(INDEX(Scoring_Arboriculture!J:J,MATCH(Surfaces!Z157,Scoring_Arboriculture!B:B,0)),0)</f>
        <v>0</v>
      </c>
      <c r="AF157" s="295">
        <f>IFERROR(INDEX(Scoring_Arboriculture!K:K,MATCH(Surfaces!Z157,Scoring_Arboriculture!B:B,0)),0)</f>
        <v>0</v>
      </c>
      <c r="AH157" s="306">
        <f>IFERROR(INDEX(Scoring_Arboriculture!S:S,MATCH(Surfaces!Z157,Scoring_Arboriculture!M:M,0)),0)</f>
        <v>0</v>
      </c>
      <c r="AI157" s="306">
        <f>IFERROR(INDEX(Scoring_Arboriculture!T:T,MATCH(Surfaces!Z157,Scoring_Arboriculture!M:M,0)),0)</f>
        <v>0</v>
      </c>
      <c r="AJ157" s="306">
        <f>IFERROR(INDEX(Scoring_Arboriculture!U:U,MATCH(Surfaces!Z157,Scoring_Arboriculture!M:M,0)),0)</f>
        <v>0</v>
      </c>
      <c r="AK157" s="306">
        <f>IFERROR(INDEX(Scoring_Arboriculture!V:V,MATCH(Surfaces!Z157,Scoring_Arboriculture!M:M,0)),0)</f>
        <v>0</v>
      </c>
      <c r="AL157" s="294"/>
    </row>
    <row r="158" spans="2:38" x14ac:dyDescent="0.3">
      <c r="B158" s="19"/>
      <c r="C158" s="64"/>
      <c r="D158" s="65" t="s">
        <v>198</v>
      </c>
      <c r="E158" s="669"/>
      <c r="F158" s="670"/>
      <c r="G158" s="671"/>
      <c r="H158" s="48"/>
      <c r="I158" s="48"/>
      <c r="J158" s="48"/>
      <c r="K158" s="48"/>
      <c r="L158" s="48"/>
      <c r="M158" s="48"/>
      <c r="N158" s="48"/>
      <c r="O158" s="523"/>
      <c r="P158" s="523"/>
      <c r="Q158" s="523"/>
      <c r="S158" s="55"/>
      <c r="T158" s="20"/>
      <c r="U158" s="118" t="str">
        <f t="shared" si="8"/>
        <v/>
      </c>
      <c r="Y158" s="293" t="str">
        <f t="shared" si="10"/>
        <v>0</v>
      </c>
      <c r="Z158" t="str">
        <f t="shared" si="11"/>
        <v/>
      </c>
      <c r="AA158" s="194">
        <f t="shared" si="9"/>
        <v>0</v>
      </c>
      <c r="AB158" s="194" t="str">
        <f>IF(AA158&lt;&gt;0,INDEX(Listes!V:V,MATCH(Surfaces!AA158,Listes!U:U,0)),"")</f>
        <v/>
      </c>
      <c r="AC158" s="295">
        <f>IFERROR(INDEX(Scoring_Arboriculture!H:H,MATCH(Surfaces!Z158,Scoring_Arboriculture!B:B,0)),0)</f>
        <v>0</v>
      </c>
      <c r="AD158" s="295">
        <f>IFERROR(INDEX(Scoring_Arboriculture!I:I,MATCH(Surfaces!Z158,Scoring_Arboriculture!B:B,0)),0)</f>
        <v>0</v>
      </c>
      <c r="AE158" s="295">
        <f>IFERROR(INDEX(Scoring_Arboriculture!J:J,MATCH(Surfaces!Z158,Scoring_Arboriculture!B:B,0)),0)</f>
        <v>0</v>
      </c>
      <c r="AF158" s="295">
        <f>IFERROR(INDEX(Scoring_Arboriculture!K:K,MATCH(Surfaces!Z158,Scoring_Arboriculture!B:B,0)),0)</f>
        <v>0</v>
      </c>
      <c r="AH158" s="306">
        <f>IFERROR(INDEX(Scoring_Arboriculture!S:S,MATCH(Surfaces!Z158,Scoring_Arboriculture!M:M,0)),0)</f>
        <v>0</v>
      </c>
      <c r="AI158" s="306">
        <f>IFERROR(INDEX(Scoring_Arboriculture!T:T,MATCH(Surfaces!Z158,Scoring_Arboriculture!M:M,0)),0)</f>
        <v>0</v>
      </c>
      <c r="AJ158" s="306">
        <f>IFERROR(INDEX(Scoring_Arboriculture!U:U,MATCH(Surfaces!Z158,Scoring_Arboriculture!M:M,0)),0)</f>
        <v>0</v>
      </c>
      <c r="AK158" s="306">
        <f>IFERROR(INDEX(Scoring_Arboriculture!V:V,MATCH(Surfaces!Z158,Scoring_Arboriculture!M:M,0)),0)</f>
        <v>0</v>
      </c>
      <c r="AL158" s="294"/>
    </row>
    <row r="159" spans="2:38" x14ac:dyDescent="0.3">
      <c r="B159" s="19"/>
      <c r="C159" s="64"/>
      <c r="D159" s="65" t="s">
        <v>199</v>
      </c>
      <c r="E159" s="669"/>
      <c r="F159" s="670"/>
      <c r="G159" s="671"/>
      <c r="H159" s="48"/>
      <c r="I159" s="48"/>
      <c r="J159" s="48"/>
      <c r="K159" s="48"/>
      <c r="L159" s="48"/>
      <c r="M159" s="48"/>
      <c r="N159" s="48"/>
      <c r="O159" s="523"/>
      <c r="P159" s="523"/>
      <c r="Q159" s="523"/>
      <c r="S159" s="55"/>
      <c r="T159" s="20"/>
      <c r="U159" s="118" t="str">
        <f t="shared" si="8"/>
        <v/>
      </c>
      <c r="Y159" s="293" t="str">
        <f t="shared" si="10"/>
        <v>0</v>
      </c>
      <c r="Z159" t="str">
        <f t="shared" si="11"/>
        <v/>
      </c>
      <c r="AA159" s="194">
        <f t="shared" si="9"/>
        <v>0</v>
      </c>
      <c r="AB159" s="194" t="str">
        <f>IF(AA159&lt;&gt;0,INDEX(Listes!V:V,MATCH(Surfaces!AA159,Listes!U:U,0)),"")</f>
        <v/>
      </c>
      <c r="AC159" s="295">
        <f>IFERROR(INDEX(Scoring_Arboriculture!H:H,MATCH(Surfaces!Z159,Scoring_Arboriculture!B:B,0)),0)</f>
        <v>0</v>
      </c>
      <c r="AD159" s="295">
        <f>IFERROR(INDEX(Scoring_Arboriculture!I:I,MATCH(Surfaces!Z159,Scoring_Arboriculture!B:B,0)),0)</f>
        <v>0</v>
      </c>
      <c r="AE159" s="295">
        <f>IFERROR(INDEX(Scoring_Arboriculture!J:J,MATCH(Surfaces!Z159,Scoring_Arboriculture!B:B,0)),0)</f>
        <v>0</v>
      </c>
      <c r="AF159" s="295">
        <f>IFERROR(INDEX(Scoring_Arboriculture!K:K,MATCH(Surfaces!Z159,Scoring_Arboriculture!B:B,0)),0)</f>
        <v>0</v>
      </c>
      <c r="AH159" s="306">
        <f>IFERROR(INDEX(Scoring_Arboriculture!S:S,MATCH(Surfaces!Z159,Scoring_Arboriculture!M:M,0)),0)</f>
        <v>0</v>
      </c>
      <c r="AI159" s="306">
        <f>IFERROR(INDEX(Scoring_Arboriculture!T:T,MATCH(Surfaces!Z159,Scoring_Arboriculture!M:M,0)),0)</f>
        <v>0</v>
      </c>
      <c r="AJ159" s="306">
        <f>IFERROR(INDEX(Scoring_Arboriculture!U:U,MATCH(Surfaces!Z159,Scoring_Arboriculture!M:M,0)),0)</f>
        <v>0</v>
      </c>
      <c r="AK159" s="306">
        <f>IFERROR(INDEX(Scoring_Arboriculture!V:V,MATCH(Surfaces!Z159,Scoring_Arboriculture!M:M,0)),0)</f>
        <v>0</v>
      </c>
      <c r="AL159" s="294"/>
    </row>
    <row r="160" spans="2:38" x14ac:dyDescent="0.3">
      <c r="B160" s="19"/>
      <c r="C160" s="64"/>
      <c r="M160" s="500" t="s">
        <v>3107</v>
      </c>
      <c r="N160" s="501"/>
      <c r="O160" s="524">
        <f>SUM(O145:O159)</f>
        <v>0</v>
      </c>
      <c r="P160" s="524">
        <f t="shared" ref="P160:Q160" si="12">SUM(P145:P159)</f>
        <v>0</v>
      </c>
      <c r="Q160" s="524">
        <f t="shared" si="12"/>
        <v>0</v>
      </c>
      <c r="S160" s="55"/>
      <c r="T160" s="20"/>
      <c r="Y160" s="293"/>
      <c r="AL160" s="294"/>
    </row>
    <row r="161" spans="2:38" x14ac:dyDescent="0.3">
      <c r="B161" s="19"/>
      <c r="C161" s="64"/>
      <c r="O161" s="529"/>
      <c r="P161" s="529"/>
      <c r="Q161" s="529"/>
      <c r="S161" s="55"/>
      <c r="T161" s="20"/>
      <c r="Y161" s="293"/>
      <c r="AL161" s="294"/>
    </row>
    <row r="162" spans="2:38" x14ac:dyDescent="0.3">
      <c r="B162" s="19"/>
      <c r="C162" s="502" t="s">
        <v>123</v>
      </c>
      <c r="D162" s="47"/>
      <c r="E162" s="47"/>
      <c r="F162" s="47"/>
      <c r="G162" s="47"/>
      <c r="H162" s="47"/>
      <c r="I162" s="47"/>
      <c r="J162" s="47"/>
      <c r="K162" s="47"/>
      <c r="L162" s="47"/>
      <c r="M162" s="47"/>
      <c r="N162" s="43"/>
      <c r="O162" s="523"/>
      <c r="P162" s="523"/>
      <c r="Q162" s="523"/>
      <c r="S162" s="55"/>
      <c r="T162" s="20"/>
      <c r="Y162" s="296"/>
      <c r="Z162" s="297"/>
      <c r="AA162" s="297"/>
      <c r="AB162" s="297"/>
      <c r="AC162" s="297"/>
      <c r="AD162" s="297"/>
      <c r="AE162" s="297"/>
      <c r="AF162" s="297"/>
      <c r="AG162" s="297"/>
      <c r="AH162" s="297"/>
      <c r="AI162" s="297"/>
      <c r="AJ162" s="297"/>
      <c r="AK162" s="297"/>
      <c r="AL162" s="298"/>
    </row>
    <row r="163" spans="2:38" x14ac:dyDescent="0.3">
      <c r="B163" s="19"/>
      <c r="C163" s="57"/>
      <c r="D163" s="40"/>
      <c r="E163" s="40"/>
      <c r="F163" s="40"/>
      <c r="G163" s="40"/>
      <c r="H163" s="40"/>
      <c r="I163" s="40"/>
      <c r="J163" s="40"/>
      <c r="K163" s="40"/>
      <c r="L163" s="40"/>
      <c r="M163" s="40"/>
      <c r="N163" s="40"/>
      <c r="O163" s="530"/>
      <c r="P163" s="530"/>
      <c r="Q163" s="530"/>
      <c r="R163" s="40"/>
      <c r="S163" s="58"/>
      <c r="T163" s="20"/>
    </row>
    <row r="164" spans="2:38" x14ac:dyDescent="0.3">
      <c r="B164" s="19"/>
      <c r="O164" s="522"/>
      <c r="P164" s="522"/>
      <c r="Q164" s="522"/>
      <c r="T164" s="20"/>
    </row>
    <row r="165" spans="2:38" x14ac:dyDescent="0.3">
      <c r="B165" s="19"/>
      <c r="L165" s="678" t="s">
        <v>294</v>
      </c>
      <c r="M165" s="678"/>
      <c r="O165" s="524">
        <f>IFERROR(O84+O91+O98+O106+O112+O123+O130+O138+O142+O160+O162,0)</f>
        <v>0</v>
      </c>
      <c r="P165" s="524">
        <f>IFERROR(P84+P91+P98+P106+P112+P123+P130+P138+P142+P160+P162,0)</f>
        <v>0</v>
      </c>
      <c r="Q165" s="524">
        <f>IFERROR(Q84+Q91+Q98+Q106+Q112+Q123+Q130+Q138+Q142+Q160+Q162,0)</f>
        <v>0</v>
      </c>
      <c r="T165" s="20"/>
    </row>
    <row r="166" spans="2:38" ht="15" thickBot="1" x14ac:dyDescent="0.35">
      <c r="B166" s="22"/>
      <c r="C166" s="66"/>
      <c r="D166" s="23"/>
      <c r="E166" s="23"/>
      <c r="F166" s="23"/>
      <c r="G166" s="23"/>
      <c r="H166" s="23"/>
      <c r="I166" s="23"/>
      <c r="J166" s="23"/>
      <c r="K166" s="23"/>
      <c r="L166" s="23"/>
      <c r="M166" s="23"/>
      <c r="N166" s="23"/>
      <c r="O166" s="23"/>
      <c r="P166" s="23"/>
      <c r="Q166" s="23"/>
      <c r="R166" s="23"/>
      <c r="S166" s="23"/>
      <c r="T166" s="24"/>
    </row>
    <row r="169" spans="2:38" ht="15" thickBot="1" x14ac:dyDescent="0.35"/>
    <row r="170" spans="2:38" x14ac:dyDescent="0.3">
      <c r="B170" s="16"/>
      <c r="C170" s="17"/>
      <c r="D170" s="17"/>
      <c r="E170" s="17"/>
      <c r="F170" s="17"/>
      <c r="G170" s="17"/>
      <c r="H170" s="17"/>
      <c r="I170" s="17"/>
      <c r="J170" s="17"/>
      <c r="K170" s="17"/>
      <c r="L170" s="17"/>
      <c r="M170" s="17"/>
      <c r="N170" s="17"/>
      <c r="O170" s="159"/>
      <c r="P170" s="17"/>
      <c r="Q170" s="17"/>
      <c r="R170" s="17"/>
      <c r="S170" s="17"/>
      <c r="T170" s="18"/>
    </row>
    <row r="171" spans="2:38" ht="15" customHeight="1" x14ac:dyDescent="0.3">
      <c r="B171" s="19"/>
      <c r="O171" s="672" t="s">
        <v>714</v>
      </c>
      <c r="P171" s="672"/>
      <c r="Q171" s="672"/>
      <c r="T171" s="20"/>
    </row>
    <row r="172" spans="2:38" x14ac:dyDescent="0.3">
      <c r="B172" s="19"/>
      <c r="C172" s="141" t="s">
        <v>2805</v>
      </c>
      <c r="O172" s="672"/>
      <c r="P172" s="672"/>
      <c r="Q172" s="672"/>
      <c r="T172" s="20"/>
    </row>
    <row r="173" spans="2:38" x14ac:dyDescent="0.3">
      <c r="B173" s="19"/>
      <c r="C173" s="90" t="s">
        <v>2464</v>
      </c>
      <c r="D173" s="47"/>
      <c r="E173" s="47"/>
      <c r="F173" s="47"/>
      <c r="G173" s="47"/>
      <c r="H173" s="47"/>
      <c r="I173" s="47"/>
      <c r="J173" s="47"/>
      <c r="K173" s="47"/>
      <c r="L173" s="47"/>
      <c r="M173" s="47"/>
      <c r="N173" s="47"/>
      <c r="O173" s="344" t="str">
        <f>TEXT(cCampagneN,"0000-00")</f>
        <v>N</v>
      </c>
      <c r="P173" s="344" t="str">
        <f>cCampagneN1</f>
        <v>N-1</v>
      </c>
      <c r="Q173" s="344" t="str">
        <f>CCampagneN2</f>
        <v>N-2</v>
      </c>
      <c r="T173" s="20"/>
    </row>
    <row r="174" spans="2:38" x14ac:dyDescent="0.3">
      <c r="B174" s="19"/>
      <c r="D174" s="47" t="s">
        <v>2771</v>
      </c>
      <c r="E174" s="47"/>
      <c r="F174" s="47"/>
      <c r="G174" s="47"/>
      <c r="H174" s="47"/>
      <c r="I174" s="47"/>
      <c r="J174" s="47"/>
      <c r="K174" s="47"/>
      <c r="L174" s="47"/>
      <c r="M174" s="47"/>
      <c r="N174" s="43"/>
      <c r="O174" s="521">
        <f>Surfaces_Horti!N12</f>
        <v>0</v>
      </c>
      <c r="P174" s="521">
        <f>Surfaces_Horti!N49</f>
        <v>0</v>
      </c>
      <c r="Q174" s="521">
        <f>Surfaces_Horti!N86</f>
        <v>0</v>
      </c>
      <c r="T174" s="20"/>
    </row>
    <row r="175" spans="2:38" x14ac:dyDescent="0.3">
      <c r="B175" s="19"/>
      <c r="D175" s="48" t="s">
        <v>385</v>
      </c>
      <c r="E175" s="48"/>
      <c r="F175" s="48"/>
      <c r="G175" s="48"/>
      <c r="H175" s="48"/>
      <c r="I175" s="48"/>
      <c r="J175" s="48"/>
      <c r="K175" s="48"/>
      <c r="L175" s="48"/>
      <c r="M175" s="48"/>
      <c r="N175" s="44"/>
      <c r="O175" s="521">
        <f>Surfaces_Horti!N13</f>
        <v>0</v>
      </c>
      <c r="P175" s="521">
        <f>Surfaces_Horti!N50</f>
        <v>0</v>
      </c>
      <c r="Q175" s="521">
        <f>Surfaces_Horti!N87</f>
        <v>0</v>
      </c>
      <c r="T175" s="20"/>
    </row>
    <row r="176" spans="2:38" x14ac:dyDescent="0.3">
      <c r="B176" s="19"/>
      <c r="D176" s="48" t="s">
        <v>401</v>
      </c>
      <c r="E176" s="48"/>
      <c r="F176" s="48"/>
      <c r="G176" s="48"/>
      <c r="H176" s="48"/>
      <c r="I176" s="48"/>
      <c r="J176" s="48"/>
      <c r="K176" s="48"/>
      <c r="L176" s="48"/>
      <c r="M176" s="48"/>
      <c r="N176" s="44"/>
      <c r="O176" s="521">
        <f>Surfaces_Horti!N14</f>
        <v>0</v>
      </c>
      <c r="P176" s="521">
        <f>Surfaces_Horti!N51</f>
        <v>0</v>
      </c>
      <c r="Q176" s="521">
        <f>Surfaces_Horti!N88</f>
        <v>0</v>
      </c>
      <c r="T176" s="20"/>
    </row>
    <row r="177" spans="2:20" x14ac:dyDescent="0.3">
      <c r="B177" s="19"/>
      <c r="D177" s="48" t="s">
        <v>402</v>
      </c>
      <c r="E177" s="48"/>
      <c r="F177" s="48"/>
      <c r="G177" s="48"/>
      <c r="H177" s="48"/>
      <c r="I177" s="48"/>
      <c r="J177" s="48"/>
      <c r="K177" s="48"/>
      <c r="L177" s="48"/>
      <c r="M177" s="48"/>
      <c r="N177" s="44"/>
      <c r="O177" s="521">
        <f>Surfaces_Horti!N15</f>
        <v>0</v>
      </c>
      <c r="P177" s="521">
        <f>Surfaces_Horti!N52</f>
        <v>0</v>
      </c>
      <c r="Q177" s="521">
        <f>Surfaces_Horti!N89</f>
        <v>0</v>
      </c>
      <c r="T177" s="20"/>
    </row>
    <row r="178" spans="2:20" x14ac:dyDescent="0.3">
      <c r="B178" s="19"/>
      <c r="D178" s="48" t="s">
        <v>2770</v>
      </c>
      <c r="E178" s="48"/>
      <c r="F178" s="48"/>
      <c r="G178" s="48"/>
      <c r="H178" s="48"/>
      <c r="I178" s="48"/>
      <c r="J178" s="48"/>
      <c r="K178" s="48"/>
      <c r="L178" s="48"/>
      <c r="M178" s="48"/>
      <c r="N178" s="44"/>
      <c r="O178" s="521">
        <f>Surfaces_Horti!N16</f>
        <v>0</v>
      </c>
      <c r="P178" s="521">
        <f>Surfaces_Horti!N53</f>
        <v>0</v>
      </c>
      <c r="Q178" s="521">
        <f>Surfaces_Horti!N90</f>
        <v>0</v>
      </c>
      <c r="T178" s="20"/>
    </row>
    <row r="179" spans="2:20" x14ac:dyDescent="0.3">
      <c r="B179" s="19"/>
      <c r="D179" s="48" t="s">
        <v>2774</v>
      </c>
      <c r="E179" s="48"/>
      <c r="F179" s="48"/>
      <c r="G179" s="48"/>
      <c r="H179" s="48"/>
      <c r="I179" s="48"/>
      <c r="J179" s="48"/>
      <c r="K179" s="48"/>
      <c r="L179" s="48"/>
      <c r="M179" s="48"/>
      <c r="N179" s="44"/>
      <c r="O179" s="521">
        <f>Surfaces_Horti!N17</f>
        <v>0</v>
      </c>
      <c r="P179" s="521">
        <f>Surfaces_Horti!N54</f>
        <v>0</v>
      </c>
      <c r="Q179" s="521">
        <f>Surfaces_Horti!N91</f>
        <v>0</v>
      </c>
      <c r="T179" s="20"/>
    </row>
    <row r="180" spans="2:20" x14ac:dyDescent="0.3">
      <c r="B180" s="19"/>
      <c r="D180" s="48" t="s">
        <v>2772</v>
      </c>
      <c r="E180" s="48"/>
      <c r="F180" s="48"/>
      <c r="G180" s="48"/>
      <c r="H180" s="48"/>
      <c r="I180" s="48"/>
      <c r="J180" s="48"/>
      <c r="K180" s="48"/>
      <c r="L180" s="48"/>
      <c r="M180" s="48"/>
      <c r="N180" s="44"/>
      <c r="O180" s="521">
        <f>Surfaces_Horti!N18</f>
        <v>0</v>
      </c>
      <c r="P180" s="521">
        <f>Surfaces_Horti!N55</f>
        <v>0</v>
      </c>
      <c r="Q180" s="521">
        <f>Surfaces_Horti!N92</f>
        <v>0</v>
      </c>
      <c r="T180" s="20"/>
    </row>
    <row r="181" spans="2:20" x14ac:dyDescent="0.3">
      <c r="B181" s="19"/>
      <c r="D181" s="48" t="s">
        <v>2773</v>
      </c>
      <c r="E181" s="48"/>
      <c r="F181" s="48"/>
      <c r="G181" s="48"/>
      <c r="H181" s="48"/>
      <c r="I181" s="48"/>
      <c r="J181" s="48"/>
      <c r="K181" s="48"/>
      <c r="L181" s="48"/>
      <c r="M181" s="48"/>
      <c r="N181" s="44"/>
      <c r="O181" s="521">
        <f>Surfaces_Horti!N19</f>
        <v>0</v>
      </c>
      <c r="P181" s="521">
        <f>Surfaces_Horti!N56</f>
        <v>0</v>
      </c>
      <c r="Q181" s="521">
        <f>Surfaces_Horti!N93</f>
        <v>0</v>
      </c>
      <c r="T181" s="20"/>
    </row>
    <row r="182" spans="2:20" x14ac:dyDescent="0.3">
      <c r="B182" s="19"/>
      <c r="C182" s="90" t="s">
        <v>2463</v>
      </c>
      <c r="D182" s="48"/>
      <c r="E182" s="48"/>
      <c r="F182" s="48"/>
      <c r="G182" s="48"/>
      <c r="H182" s="48"/>
      <c r="I182" s="48"/>
      <c r="J182" s="48"/>
      <c r="K182" s="48"/>
      <c r="L182" s="48"/>
      <c r="M182" s="48"/>
      <c r="N182" s="48"/>
      <c r="O182" s="529"/>
      <c r="P182" s="529"/>
      <c r="Q182" s="529"/>
      <c r="T182" s="20"/>
    </row>
    <row r="183" spans="2:20" x14ac:dyDescent="0.3">
      <c r="B183" s="19"/>
      <c r="D183" s="48" t="s">
        <v>397</v>
      </c>
      <c r="E183" s="48"/>
      <c r="F183" s="48"/>
      <c r="G183" s="48"/>
      <c r="H183" s="48"/>
      <c r="I183" s="48"/>
      <c r="J183" s="48"/>
      <c r="K183" s="48"/>
      <c r="L183" s="48"/>
      <c r="M183" s="48"/>
      <c r="N183" s="44"/>
      <c r="O183" s="521">
        <f>Surfaces_Horti!N21</f>
        <v>0</v>
      </c>
      <c r="P183" s="521">
        <f>Surfaces_Horti!N58</f>
        <v>0</v>
      </c>
      <c r="Q183" s="521">
        <f>Surfaces_Horti!N95</f>
        <v>0</v>
      </c>
      <c r="T183" s="20"/>
    </row>
    <row r="184" spans="2:20" x14ac:dyDescent="0.3">
      <c r="B184" s="19"/>
      <c r="D184" s="48" t="s">
        <v>398</v>
      </c>
      <c r="E184" s="48"/>
      <c r="F184" s="48"/>
      <c r="G184" s="48"/>
      <c r="H184" s="48"/>
      <c r="I184" s="48"/>
      <c r="J184" s="48"/>
      <c r="K184" s="48"/>
      <c r="L184" s="48"/>
      <c r="M184" s="48"/>
      <c r="N184" s="44"/>
      <c r="O184" s="521">
        <f>Surfaces_Horti!N22</f>
        <v>0</v>
      </c>
      <c r="P184" s="521">
        <f>Surfaces_Horti!N59</f>
        <v>0</v>
      </c>
      <c r="Q184" s="521">
        <f>Surfaces_Horti!N96</f>
        <v>0</v>
      </c>
      <c r="T184" s="20"/>
    </row>
    <row r="185" spans="2:20" x14ac:dyDescent="0.3">
      <c r="B185" s="19"/>
      <c r="D185" s="48" t="s">
        <v>399</v>
      </c>
      <c r="E185" s="48"/>
      <c r="F185" s="48"/>
      <c r="G185" s="48"/>
      <c r="H185" s="48"/>
      <c r="I185" s="48"/>
      <c r="J185" s="48"/>
      <c r="K185" s="48"/>
      <c r="L185" s="48"/>
      <c r="M185" s="48"/>
      <c r="N185" s="44"/>
      <c r="O185" s="521">
        <f>Surfaces_Horti!N23</f>
        <v>0</v>
      </c>
      <c r="P185" s="521">
        <f>Surfaces_Horti!N60</f>
        <v>0</v>
      </c>
      <c r="Q185" s="521">
        <f>Surfaces_Horti!N97</f>
        <v>0</v>
      </c>
      <c r="T185" s="20"/>
    </row>
    <row r="186" spans="2:20" x14ac:dyDescent="0.3">
      <c r="B186" s="19"/>
      <c r="D186" s="48" t="s">
        <v>385</v>
      </c>
      <c r="E186" s="48"/>
      <c r="F186" s="48"/>
      <c r="G186" s="48"/>
      <c r="H186" s="48"/>
      <c r="I186" s="48"/>
      <c r="J186" s="48"/>
      <c r="K186" s="48"/>
      <c r="L186" s="48"/>
      <c r="M186" s="48"/>
      <c r="N186" s="44"/>
      <c r="O186" s="521">
        <f>Surfaces_Horti!N24</f>
        <v>0</v>
      </c>
      <c r="P186" s="521">
        <f>Surfaces_Horti!N61</f>
        <v>0</v>
      </c>
      <c r="Q186" s="521">
        <f>Surfaces_Horti!N98</f>
        <v>0</v>
      </c>
      <c r="T186" s="20"/>
    </row>
    <row r="187" spans="2:20" x14ac:dyDescent="0.3">
      <c r="B187" s="19"/>
      <c r="D187" s="48" t="s">
        <v>401</v>
      </c>
      <c r="E187" s="48"/>
      <c r="F187" s="48"/>
      <c r="G187" s="48"/>
      <c r="H187" s="48"/>
      <c r="I187" s="48"/>
      <c r="J187" s="48"/>
      <c r="K187" s="48"/>
      <c r="L187" s="48"/>
      <c r="M187" s="48"/>
      <c r="N187" s="44"/>
      <c r="O187" s="521">
        <f>Surfaces_Horti!N25</f>
        <v>0</v>
      </c>
      <c r="P187" s="521">
        <f>Surfaces_Horti!N62</f>
        <v>0</v>
      </c>
      <c r="Q187" s="521">
        <f>Surfaces_Horti!N99</f>
        <v>0</v>
      </c>
      <c r="T187" s="20"/>
    </row>
    <row r="188" spans="2:20" x14ac:dyDescent="0.3">
      <c r="B188" s="19"/>
      <c r="D188" s="48" t="s">
        <v>2770</v>
      </c>
      <c r="E188" s="48"/>
      <c r="F188" s="48"/>
      <c r="G188" s="48"/>
      <c r="H188" s="48"/>
      <c r="I188" s="48"/>
      <c r="J188" s="48"/>
      <c r="K188" s="48"/>
      <c r="L188" s="48"/>
      <c r="M188" s="48"/>
      <c r="N188" s="44"/>
      <c r="O188" s="521">
        <f>Surfaces_Horti!N26</f>
        <v>0</v>
      </c>
      <c r="P188" s="521">
        <f>Surfaces_Horti!N63</f>
        <v>0</v>
      </c>
      <c r="Q188" s="521">
        <f>Surfaces_Horti!N100</f>
        <v>0</v>
      </c>
      <c r="T188" s="20"/>
    </row>
    <row r="189" spans="2:20" x14ac:dyDescent="0.3">
      <c r="B189" s="19"/>
      <c r="D189" s="48" t="s">
        <v>402</v>
      </c>
      <c r="E189" s="48"/>
      <c r="F189" s="48"/>
      <c r="G189" s="48"/>
      <c r="H189" s="48"/>
      <c r="I189" s="48"/>
      <c r="J189" s="48"/>
      <c r="K189" s="48"/>
      <c r="L189" s="48"/>
      <c r="M189" s="48"/>
      <c r="N189" s="44"/>
      <c r="O189" s="521">
        <f>Surfaces_Horti!N27</f>
        <v>0</v>
      </c>
      <c r="P189" s="521">
        <f>Surfaces_Horti!N64</f>
        <v>0</v>
      </c>
      <c r="Q189" s="521">
        <f>Surfaces_Horti!N101</f>
        <v>0</v>
      </c>
      <c r="T189" s="20"/>
    </row>
    <row r="190" spans="2:20" x14ac:dyDescent="0.3">
      <c r="B190" s="19"/>
      <c r="D190" s="48" t="s">
        <v>403</v>
      </c>
      <c r="E190" s="48"/>
      <c r="F190" s="48"/>
      <c r="G190" s="48"/>
      <c r="H190" s="48"/>
      <c r="I190" s="48"/>
      <c r="J190" s="48"/>
      <c r="K190" s="48"/>
      <c r="L190" s="48"/>
      <c r="M190" s="48"/>
      <c r="N190" s="44"/>
      <c r="O190" s="521">
        <f>Surfaces_Horti!N28</f>
        <v>0</v>
      </c>
      <c r="P190" s="521">
        <f>Surfaces_Horti!N65</f>
        <v>0</v>
      </c>
      <c r="Q190" s="521">
        <f>Surfaces_Horti!N102</f>
        <v>0</v>
      </c>
      <c r="T190" s="20"/>
    </row>
    <row r="191" spans="2:20" x14ac:dyDescent="0.3">
      <c r="B191" s="19"/>
      <c r="D191" s="48" t="s">
        <v>404</v>
      </c>
      <c r="E191" s="48"/>
      <c r="F191" s="48"/>
      <c r="G191" s="48"/>
      <c r="H191" s="48"/>
      <c r="I191" s="48"/>
      <c r="J191" s="48"/>
      <c r="K191" s="48"/>
      <c r="L191" s="48"/>
      <c r="M191" s="48"/>
      <c r="N191" s="44"/>
      <c r="O191" s="521">
        <f>Surfaces_Horti!N29</f>
        <v>0</v>
      </c>
      <c r="P191" s="521">
        <f>Surfaces_Horti!N66</f>
        <v>0</v>
      </c>
      <c r="Q191" s="521">
        <f>Surfaces_Horti!N103</f>
        <v>0</v>
      </c>
      <c r="T191" s="20"/>
    </row>
    <row r="192" spans="2:20" x14ac:dyDescent="0.3">
      <c r="B192" s="19"/>
      <c r="D192" s="48" t="s">
        <v>405</v>
      </c>
      <c r="E192" s="48"/>
      <c r="F192" s="48"/>
      <c r="G192" s="48"/>
      <c r="H192" s="48"/>
      <c r="I192" s="48"/>
      <c r="J192" s="48"/>
      <c r="K192" s="48"/>
      <c r="L192" s="48"/>
      <c r="M192" s="48"/>
      <c r="N192" s="44"/>
      <c r="O192" s="521">
        <f>Surfaces_Horti!N30</f>
        <v>0</v>
      </c>
      <c r="P192" s="521">
        <f>Surfaces_Horti!N67</f>
        <v>0</v>
      </c>
      <c r="Q192" s="521">
        <f>Surfaces_Horti!N104</f>
        <v>0</v>
      </c>
      <c r="T192" s="20"/>
    </row>
    <row r="193" spans="2:20" x14ac:dyDescent="0.3">
      <c r="B193" s="19"/>
      <c r="D193" s="48" t="s">
        <v>406</v>
      </c>
      <c r="E193" s="48"/>
      <c r="F193" s="48"/>
      <c r="G193" s="48"/>
      <c r="H193" s="48"/>
      <c r="I193" s="48"/>
      <c r="J193" s="48"/>
      <c r="K193" s="48"/>
      <c r="L193" s="48"/>
      <c r="M193" s="48"/>
      <c r="N193" s="44"/>
      <c r="O193" s="521">
        <f>Surfaces_Horti!N31</f>
        <v>0</v>
      </c>
      <c r="P193" s="521">
        <f>Surfaces_Horti!N68</f>
        <v>0</v>
      </c>
      <c r="Q193" s="521">
        <f>Surfaces_Horti!N105</f>
        <v>0</v>
      </c>
      <c r="T193" s="20"/>
    </row>
    <row r="194" spans="2:20" x14ac:dyDescent="0.3">
      <c r="B194" s="19"/>
      <c r="D194" s="48" t="s">
        <v>407</v>
      </c>
      <c r="E194" s="48"/>
      <c r="F194" s="48"/>
      <c r="G194" s="48"/>
      <c r="H194" s="48"/>
      <c r="I194" s="48"/>
      <c r="J194" s="48"/>
      <c r="K194" s="48"/>
      <c r="L194" s="48"/>
      <c r="M194" s="48"/>
      <c r="N194" s="44"/>
      <c r="O194" s="521">
        <f>Surfaces_Horti!N32</f>
        <v>0</v>
      </c>
      <c r="P194" s="521">
        <f>Surfaces_Horti!N69</f>
        <v>0</v>
      </c>
      <c r="Q194" s="521">
        <f>Surfaces_Horti!N106</f>
        <v>0</v>
      </c>
      <c r="T194" s="20"/>
    </row>
    <row r="195" spans="2:20" x14ac:dyDescent="0.3">
      <c r="B195" s="19"/>
      <c r="D195" s="48" t="s">
        <v>2775</v>
      </c>
      <c r="E195" s="48"/>
      <c r="F195" s="48"/>
      <c r="G195" s="48"/>
      <c r="H195" s="48"/>
      <c r="I195" s="48"/>
      <c r="J195" s="48"/>
      <c r="K195" s="48"/>
      <c r="L195" s="48"/>
      <c r="M195" s="48"/>
      <c r="N195" s="44"/>
      <c r="O195" s="521">
        <f>Surfaces_Horti!N33</f>
        <v>0</v>
      </c>
      <c r="P195" s="521">
        <f>Surfaces_Horti!N70</f>
        <v>0</v>
      </c>
      <c r="Q195" s="521">
        <f>Surfaces_Horti!N107</f>
        <v>0</v>
      </c>
      <c r="T195" s="20"/>
    </row>
    <row r="196" spans="2:20" x14ac:dyDescent="0.3">
      <c r="B196" s="19"/>
      <c r="O196" s="522"/>
      <c r="P196" s="522"/>
      <c r="Q196" s="522"/>
      <c r="T196" s="20"/>
    </row>
    <row r="197" spans="2:20" x14ac:dyDescent="0.3">
      <c r="B197" s="19"/>
      <c r="C197" s="149" t="s">
        <v>2284</v>
      </c>
      <c r="D197" s="149"/>
      <c r="E197" s="149"/>
      <c r="F197" s="149"/>
      <c r="G197" s="149"/>
      <c r="H197" s="149"/>
      <c r="I197" s="149"/>
      <c r="J197" s="149"/>
      <c r="K197" s="149"/>
      <c r="L197" s="149"/>
      <c r="M197" s="149"/>
      <c r="N197" s="160"/>
      <c r="O197" s="521">
        <f>Surfaces_Horti!N41</f>
        <v>0</v>
      </c>
      <c r="P197" s="521">
        <f>Surfaces_Horti!N78</f>
        <v>0</v>
      </c>
      <c r="Q197" s="521">
        <f>Surfaces_Horti!N115</f>
        <v>0</v>
      </c>
      <c r="T197" s="20"/>
    </row>
    <row r="198" spans="2:20" x14ac:dyDescent="0.3">
      <c r="B198" s="19"/>
      <c r="C198" s="161" t="s">
        <v>705</v>
      </c>
      <c r="D198" s="161"/>
      <c r="E198" s="161"/>
      <c r="F198" s="161"/>
      <c r="G198" s="161"/>
      <c r="H198" s="161"/>
      <c r="I198" s="161"/>
      <c r="J198" s="161"/>
      <c r="K198" s="161"/>
      <c r="L198" s="161"/>
      <c r="M198" s="161"/>
      <c r="N198" s="162"/>
      <c r="O198" s="521">
        <f>Surfaces_Horti!N39</f>
        <v>0</v>
      </c>
      <c r="P198" s="521">
        <f>Surfaces_Horti!N76</f>
        <v>0</v>
      </c>
      <c r="Q198" s="521">
        <f>Surfaces_Horti!N113</f>
        <v>0</v>
      </c>
      <c r="T198" s="20"/>
    </row>
    <row r="199" spans="2:20" x14ac:dyDescent="0.3">
      <c r="B199" s="19"/>
      <c r="T199" s="20"/>
    </row>
    <row r="200" spans="2:20" ht="15" thickBot="1" x14ac:dyDescent="0.35">
      <c r="B200" s="22"/>
      <c r="C200" s="23"/>
      <c r="D200" s="23"/>
      <c r="E200" s="23"/>
      <c r="F200" s="23"/>
      <c r="G200" s="23"/>
      <c r="H200" s="23"/>
      <c r="I200" s="23"/>
      <c r="J200" s="23"/>
      <c r="K200" s="23"/>
      <c r="L200" s="23"/>
      <c r="M200" s="23"/>
      <c r="N200" s="23"/>
      <c r="O200" s="23"/>
      <c r="P200" s="23"/>
      <c r="Q200" s="23"/>
      <c r="R200" s="23"/>
      <c r="S200" s="23"/>
      <c r="T200" s="24"/>
    </row>
    <row r="203" spans="2:20" ht="15" thickBot="1" x14ac:dyDescent="0.35"/>
    <row r="204" spans="2:20" x14ac:dyDescent="0.3">
      <c r="B204" s="8"/>
      <c r="C204" s="9"/>
      <c r="D204" s="9"/>
      <c r="E204" s="9"/>
      <c r="F204" s="9"/>
      <c r="G204" s="9"/>
      <c r="H204" s="9"/>
      <c r="I204" s="9"/>
      <c r="J204" s="9"/>
      <c r="K204" s="9"/>
      <c r="L204" s="9"/>
      <c r="M204" s="9"/>
      <c r="N204" s="9"/>
      <c r="O204" s="9"/>
      <c r="P204" s="9"/>
      <c r="Q204" s="9"/>
      <c r="R204" s="9"/>
      <c r="S204" s="9"/>
      <c r="T204" s="10"/>
    </row>
    <row r="205" spans="2:20" x14ac:dyDescent="0.3">
      <c r="B205" s="11"/>
      <c r="T205" s="12"/>
    </row>
    <row r="206" spans="2:20" x14ac:dyDescent="0.3">
      <c r="B206" s="11"/>
      <c r="C206" s="652"/>
      <c r="D206" s="653"/>
      <c r="E206" s="653"/>
      <c r="F206" s="653"/>
      <c r="G206" s="653"/>
      <c r="H206" s="653"/>
      <c r="I206" s="653"/>
      <c r="J206" s="653"/>
      <c r="K206" s="653"/>
      <c r="L206" s="653"/>
      <c r="M206" s="653"/>
      <c r="N206" s="653"/>
      <c r="O206" s="653"/>
      <c r="P206" s="653"/>
      <c r="Q206" s="653"/>
      <c r="R206" s="653"/>
      <c r="S206" s="654"/>
      <c r="T206" s="12"/>
    </row>
    <row r="207" spans="2:20" x14ac:dyDescent="0.3">
      <c r="B207" s="11"/>
      <c r="C207" s="655"/>
      <c r="D207" s="656"/>
      <c r="E207" s="656"/>
      <c r="F207" s="656"/>
      <c r="G207" s="656"/>
      <c r="H207" s="656"/>
      <c r="I207" s="656"/>
      <c r="J207" s="656"/>
      <c r="K207" s="656"/>
      <c r="L207" s="656"/>
      <c r="M207" s="656"/>
      <c r="N207" s="656"/>
      <c r="O207" s="656"/>
      <c r="P207" s="656"/>
      <c r="Q207" s="656"/>
      <c r="R207" s="656"/>
      <c r="S207" s="657"/>
      <c r="T207" s="12"/>
    </row>
    <row r="208" spans="2:20" x14ac:dyDescent="0.3">
      <c r="B208" s="11"/>
      <c r="C208" s="655"/>
      <c r="D208" s="656"/>
      <c r="E208" s="656"/>
      <c r="F208" s="656"/>
      <c r="G208" s="656"/>
      <c r="H208" s="656"/>
      <c r="I208" s="656"/>
      <c r="J208" s="656"/>
      <c r="K208" s="656"/>
      <c r="L208" s="656"/>
      <c r="M208" s="656"/>
      <c r="N208" s="656"/>
      <c r="O208" s="656"/>
      <c r="P208" s="656"/>
      <c r="Q208" s="656"/>
      <c r="R208" s="656"/>
      <c r="S208" s="657"/>
      <c r="T208" s="12"/>
    </row>
    <row r="209" spans="2:20" x14ac:dyDescent="0.3">
      <c r="B209" s="11"/>
      <c r="C209" s="655"/>
      <c r="D209" s="656"/>
      <c r="E209" s="656"/>
      <c r="F209" s="656"/>
      <c r="G209" s="656"/>
      <c r="H209" s="656"/>
      <c r="I209" s="656"/>
      <c r="J209" s="656"/>
      <c r="K209" s="656"/>
      <c r="L209" s="656"/>
      <c r="M209" s="656"/>
      <c r="N209" s="656"/>
      <c r="O209" s="656"/>
      <c r="P209" s="656"/>
      <c r="Q209" s="656"/>
      <c r="R209" s="656"/>
      <c r="S209" s="657"/>
      <c r="T209" s="12"/>
    </row>
    <row r="210" spans="2:20" x14ac:dyDescent="0.3">
      <c r="B210" s="11"/>
      <c r="C210" s="655"/>
      <c r="D210" s="656"/>
      <c r="E210" s="656"/>
      <c r="F210" s="656"/>
      <c r="G210" s="656"/>
      <c r="H210" s="656"/>
      <c r="I210" s="656"/>
      <c r="J210" s="656"/>
      <c r="K210" s="656"/>
      <c r="L210" s="656"/>
      <c r="M210" s="656"/>
      <c r="N210" s="656"/>
      <c r="O210" s="656"/>
      <c r="P210" s="656"/>
      <c r="Q210" s="656"/>
      <c r="R210" s="656"/>
      <c r="S210" s="657"/>
      <c r="T210" s="12"/>
    </row>
    <row r="211" spans="2:20" x14ac:dyDescent="0.3">
      <c r="B211" s="11"/>
      <c r="C211" s="655"/>
      <c r="D211" s="656"/>
      <c r="E211" s="656"/>
      <c r="F211" s="656"/>
      <c r="G211" s="656"/>
      <c r="H211" s="656"/>
      <c r="I211" s="656"/>
      <c r="J211" s="656"/>
      <c r="K211" s="656"/>
      <c r="L211" s="656"/>
      <c r="M211" s="656"/>
      <c r="N211" s="656"/>
      <c r="O211" s="656"/>
      <c r="P211" s="656"/>
      <c r="Q211" s="656"/>
      <c r="R211" s="656"/>
      <c r="S211" s="657"/>
      <c r="T211" s="12"/>
    </row>
    <row r="212" spans="2:20" x14ac:dyDescent="0.3">
      <c r="B212" s="11"/>
      <c r="C212" s="655"/>
      <c r="D212" s="656"/>
      <c r="E212" s="656"/>
      <c r="F212" s="656"/>
      <c r="G212" s="656"/>
      <c r="H212" s="656"/>
      <c r="I212" s="656"/>
      <c r="J212" s="656"/>
      <c r="K212" s="656"/>
      <c r="L212" s="656"/>
      <c r="M212" s="656"/>
      <c r="N212" s="656"/>
      <c r="O212" s="656"/>
      <c r="P212" s="656"/>
      <c r="Q212" s="656"/>
      <c r="R212" s="656"/>
      <c r="S212" s="657"/>
      <c r="T212" s="12"/>
    </row>
    <row r="213" spans="2:20" x14ac:dyDescent="0.3">
      <c r="B213" s="11"/>
      <c r="C213" s="655"/>
      <c r="D213" s="656"/>
      <c r="E213" s="656"/>
      <c r="F213" s="656"/>
      <c r="G213" s="656"/>
      <c r="H213" s="656"/>
      <c r="I213" s="656"/>
      <c r="J213" s="656"/>
      <c r="K213" s="656"/>
      <c r="L213" s="656"/>
      <c r="M213" s="656"/>
      <c r="N213" s="656"/>
      <c r="O213" s="656"/>
      <c r="P213" s="656"/>
      <c r="Q213" s="656"/>
      <c r="R213" s="656"/>
      <c r="S213" s="657"/>
      <c r="T213" s="12"/>
    </row>
    <row r="214" spans="2:20" x14ac:dyDescent="0.3">
      <c r="B214" s="11"/>
      <c r="C214" s="655"/>
      <c r="D214" s="656"/>
      <c r="E214" s="656"/>
      <c r="F214" s="656"/>
      <c r="G214" s="656"/>
      <c r="H214" s="656"/>
      <c r="I214" s="656"/>
      <c r="J214" s="656"/>
      <c r="K214" s="656"/>
      <c r="L214" s="656"/>
      <c r="M214" s="656"/>
      <c r="N214" s="656"/>
      <c r="O214" s="656"/>
      <c r="P214" s="656"/>
      <c r="Q214" s="656"/>
      <c r="R214" s="656"/>
      <c r="S214" s="657"/>
      <c r="T214" s="12"/>
    </row>
    <row r="215" spans="2:20" x14ac:dyDescent="0.3">
      <c r="B215" s="11"/>
      <c r="C215" s="655"/>
      <c r="D215" s="656"/>
      <c r="E215" s="656"/>
      <c r="F215" s="656"/>
      <c r="G215" s="656"/>
      <c r="H215" s="656"/>
      <c r="I215" s="656"/>
      <c r="J215" s="656"/>
      <c r="K215" s="656"/>
      <c r="L215" s="656"/>
      <c r="M215" s="656"/>
      <c r="N215" s="656"/>
      <c r="O215" s="656"/>
      <c r="P215" s="656"/>
      <c r="Q215" s="656"/>
      <c r="R215" s="656"/>
      <c r="S215" s="657"/>
      <c r="T215" s="12"/>
    </row>
    <row r="216" spans="2:20" x14ac:dyDescent="0.3">
      <c r="B216" s="11"/>
      <c r="C216" s="655"/>
      <c r="D216" s="656"/>
      <c r="E216" s="656"/>
      <c r="F216" s="656"/>
      <c r="G216" s="656"/>
      <c r="H216" s="656"/>
      <c r="I216" s="656"/>
      <c r="J216" s="656"/>
      <c r="K216" s="656"/>
      <c r="L216" s="656"/>
      <c r="M216" s="656"/>
      <c r="N216" s="656"/>
      <c r="O216" s="656"/>
      <c r="P216" s="656"/>
      <c r="Q216" s="656"/>
      <c r="R216" s="656"/>
      <c r="S216" s="657"/>
      <c r="T216" s="12"/>
    </row>
    <row r="217" spans="2:20" x14ac:dyDescent="0.3">
      <c r="B217" s="11"/>
      <c r="C217" s="655"/>
      <c r="D217" s="656"/>
      <c r="E217" s="656"/>
      <c r="F217" s="656"/>
      <c r="G217" s="656"/>
      <c r="H217" s="656"/>
      <c r="I217" s="656"/>
      <c r="J217" s="656"/>
      <c r="K217" s="656"/>
      <c r="L217" s="656"/>
      <c r="M217" s="656"/>
      <c r="N217" s="656"/>
      <c r="O217" s="656"/>
      <c r="P217" s="656"/>
      <c r="Q217" s="656"/>
      <c r="R217" s="656"/>
      <c r="S217" s="657"/>
      <c r="T217" s="12"/>
    </row>
    <row r="218" spans="2:20" x14ac:dyDescent="0.3">
      <c r="B218" s="11"/>
      <c r="C218" s="655"/>
      <c r="D218" s="656"/>
      <c r="E218" s="656"/>
      <c r="F218" s="656"/>
      <c r="G218" s="656"/>
      <c r="H218" s="656"/>
      <c r="I218" s="656"/>
      <c r="J218" s="656"/>
      <c r="K218" s="656"/>
      <c r="L218" s="656"/>
      <c r="M218" s="656"/>
      <c r="N218" s="656"/>
      <c r="O218" s="656"/>
      <c r="P218" s="656"/>
      <c r="Q218" s="656"/>
      <c r="R218" s="656"/>
      <c r="S218" s="657"/>
      <c r="T218" s="12"/>
    </row>
    <row r="219" spans="2:20" x14ac:dyDescent="0.3">
      <c r="B219" s="11"/>
      <c r="C219" s="655"/>
      <c r="D219" s="656"/>
      <c r="E219" s="656"/>
      <c r="F219" s="656"/>
      <c r="G219" s="656"/>
      <c r="H219" s="656"/>
      <c r="I219" s="656"/>
      <c r="J219" s="656"/>
      <c r="K219" s="656"/>
      <c r="L219" s="656"/>
      <c r="M219" s="656"/>
      <c r="N219" s="656"/>
      <c r="O219" s="656"/>
      <c r="P219" s="656"/>
      <c r="Q219" s="656"/>
      <c r="R219" s="656"/>
      <c r="S219" s="657"/>
      <c r="T219" s="12"/>
    </row>
    <row r="220" spans="2:20" x14ac:dyDescent="0.3">
      <c r="B220" s="11"/>
      <c r="C220" s="655"/>
      <c r="D220" s="656"/>
      <c r="E220" s="656"/>
      <c r="F220" s="656"/>
      <c r="G220" s="656"/>
      <c r="H220" s="656"/>
      <c r="I220" s="656"/>
      <c r="J220" s="656"/>
      <c r="K220" s="656"/>
      <c r="L220" s="656"/>
      <c r="M220" s="656"/>
      <c r="N220" s="656"/>
      <c r="O220" s="656"/>
      <c r="P220" s="656"/>
      <c r="Q220" s="656"/>
      <c r="R220" s="656"/>
      <c r="S220" s="657"/>
      <c r="T220" s="12"/>
    </row>
    <row r="221" spans="2:20" x14ac:dyDescent="0.3">
      <c r="B221" s="11"/>
      <c r="C221" s="655"/>
      <c r="D221" s="656"/>
      <c r="E221" s="656"/>
      <c r="F221" s="656"/>
      <c r="G221" s="656"/>
      <c r="H221" s="656"/>
      <c r="I221" s="656"/>
      <c r="J221" s="656"/>
      <c r="K221" s="656"/>
      <c r="L221" s="656"/>
      <c r="M221" s="656"/>
      <c r="N221" s="656"/>
      <c r="O221" s="656"/>
      <c r="P221" s="656"/>
      <c r="Q221" s="656"/>
      <c r="R221" s="656"/>
      <c r="S221" s="657"/>
      <c r="T221" s="12"/>
    </row>
    <row r="222" spans="2:20" x14ac:dyDescent="0.3">
      <c r="B222" s="11"/>
      <c r="C222" s="655"/>
      <c r="D222" s="656"/>
      <c r="E222" s="656"/>
      <c r="F222" s="656"/>
      <c r="G222" s="656"/>
      <c r="H222" s="656"/>
      <c r="I222" s="656"/>
      <c r="J222" s="656"/>
      <c r="K222" s="656"/>
      <c r="L222" s="656"/>
      <c r="M222" s="656"/>
      <c r="N222" s="656"/>
      <c r="O222" s="656"/>
      <c r="P222" s="656"/>
      <c r="Q222" s="656"/>
      <c r="R222" s="656"/>
      <c r="S222" s="657"/>
      <c r="T222" s="12"/>
    </row>
    <row r="223" spans="2:20" x14ac:dyDescent="0.3">
      <c r="B223" s="11"/>
      <c r="C223" s="655"/>
      <c r="D223" s="656"/>
      <c r="E223" s="656"/>
      <c r="F223" s="656"/>
      <c r="G223" s="656"/>
      <c r="H223" s="656"/>
      <c r="I223" s="656"/>
      <c r="J223" s="656"/>
      <c r="K223" s="656"/>
      <c r="L223" s="656"/>
      <c r="M223" s="656"/>
      <c r="N223" s="656"/>
      <c r="O223" s="656"/>
      <c r="P223" s="656"/>
      <c r="Q223" s="656"/>
      <c r="R223" s="656"/>
      <c r="S223" s="657"/>
      <c r="T223" s="12"/>
    </row>
    <row r="224" spans="2:20" x14ac:dyDescent="0.3">
      <c r="B224" s="11"/>
      <c r="C224" s="655"/>
      <c r="D224" s="656"/>
      <c r="E224" s="656"/>
      <c r="F224" s="656"/>
      <c r="G224" s="656"/>
      <c r="H224" s="656"/>
      <c r="I224" s="656"/>
      <c r="J224" s="656"/>
      <c r="K224" s="656"/>
      <c r="L224" s="656"/>
      <c r="M224" s="656"/>
      <c r="N224" s="656"/>
      <c r="O224" s="656"/>
      <c r="P224" s="656"/>
      <c r="Q224" s="656"/>
      <c r="R224" s="656"/>
      <c r="S224" s="657"/>
      <c r="T224" s="12"/>
    </row>
    <row r="225" spans="2:20" x14ac:dyDescent="0.3">
      <c r="B225" s="11"/>
      <c r="C225" s="658"/>
      <c r="D225" s="659"/>
      <c r="E225" s="659"/>
      <c r="F225" s="659"/>
      <c r="G225" s="659"/>
      <c r="H225" s="659"/>
      <c r="I225" s="659"/>
      <c r="J225" s="659"/>
      <c r="K225" s="659"/>
      <c r="L225" s="659"/>
      <c r="M225" s="659"/>
      <c r="N225" s="659"/>
      <c r="O225" s="659"/>
      <c r="P225" s="659"/>
      <c r="Q225" s="659"/>
      <c r="R225" s="659"/>
      <c r="S225" s="660"/>
      <c r="T225" s="12"/>
    </row>
    <row r="226" spans="2:20" x14ac:dyDescent="0.3">
      <c r="B226" s="11"/>
      <c r="T226" s="12"/>
    </row>
    <row r="227" spans="2:20" ht="15" thickBot="1" x14ac:dyDescent="0.35">
      <c r="B227" s="13"/>
      <c r="C227" s="14"/>
      <c r="D227" s="14"/>
      <c r="E227" s="14"/>
      <c r="F227" s="14"/>
      <c r="G227" s="14"/>
      <c r="H227" s="14"/>
      <c r="I227" s="14"/>
      <c r="J227" s="14"/>
      <c r="K227" s="14"/>
      <c r="L227" s="14"/>
      <c r="M227" s="14"/>
      <c r="N227" s="14"/>
      <c r="O227" s="14"/>
      <c r="P227" s="14"/>
      <c r="Q227" s="14"/>
      <c r="R227" s="14"/>
      <c r="S227" s="14"/>
      <c r="T227" s="15"/>
    </row>
  </sheetData>
  <sheetProtection algorithmName="SHA-512" hashValue="oYS0em2Ng+jKRMg/H7zRJP5pCaraPiiEr2e/QjNPqKG6H2O7XlXaqUJkh6b/hki9b3KUnOdsNVqjUhsm3xLaWA==" saltValue="rg/bocAwdmvnqsZA3qIGtA==" spinCount="100000" sheet="1" objects="1" scenarios="1"/>
  <mergeCells count="44">
    <mergeCell ref="AJ142:AK142"/>
    <mergeCell ref="AH142:AI142"/>
    <mergeCell ref="AE142:AF142"/>
    <mergeCell ref="AC142:AD142"/>
    <mergeCell ref="AH140:AK140"/>
    <mergeCell ref="O171:Q172"/>
    <mergeCell ref="C114:M114"/>
    <mergeCell ref="O21:Q21"/>
    <mergeCell ref="O74:Q74"/>
    <mergeCell ref="C132:M132"/>
    <mergeCell ref="C140:M140"/>
    <mergeCell ref="E147:G147"/>
    <mergeCell ref="E146:G146"/>
    <mergeCell ref="C124:R125"/>
    <mergeCell ref="C127:M127"/>
    <mergeCell ref="L165:M165"/>
    <mergeCell ref="E145:G145"/>
    <mergeCell ref="E159:G159"/>
    <mergeCell ref="E158:G158"/>
    <mergeCell ref="E157:G157"/>
    <mergeCell ref="E156:G156"/>
    <mergeCell ref="E149:G149"/>
    <mergeCell ref="E148:G148"/>
    <mergeCell ref="E155:G155"/>
    <mergeCell ref="E154:G154"/>
    <mergeCell ref="E153:G153"/>
    <mergeCell ref="E152:G152"/>
    <mergeCell ref="E151:G151"/>
    <mergeCell ref="C14:T15"/>
    <mergeCell ref="C11:S11"/>
    <mergeCell ref="C206:S225"/>
    <mergeCell ref="V1:W1"/>
    <mergeCell ref="C76:M76"/>
    <mergeCell ref="C23:M23"/>
    <mergeCell ref="C27:M27"/>
    <mergeCell ref="C25:M25"/>
    <mergeCell ref="C45:M45"/>
    <mergeCell ref="C50:M50"/>
    <mergeCell ref="C36:M36"/>
    <mergeCell ref="C86:M86"/>
    <mergeCell ref="C93:M93"/>
    <mergeCell ref="C100:M100"/>
    <mergeCell ref="C108:M108"/>
    <mergeCell ref="E150:G150"/>
  </mergeCells>
  <phoneticPr fontId="15" type="noConversion"/>
  <dataValidations count="1">
    <dataValidation type="list" allowBlank="1" showInputMessage="1" showErrorMessage="1" sqref="E145:G159" xr:uid="{00000000-0002-0000-0300-000000000000}">
      <formula1>lstCultureFruits</formula1>
    </dataValidation>
  </dataValidations>
  <pageMargins left="0.7" right="0.7" top="0.75" bottom="0.75" header="0.3" footer="0.3"/>
  <pageSetup paperSize="9" scale="58"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2">
    <tabColor theme="7" tint="0.39997558519241921"/>
  </sheetPr>
  <dimension ref="A1:O214"/>
  <sheetViews>
    <sheetView zoomScaleNormal="100" workbookViewId="0"/>
  </sheetViews>
  <sheetFormatPr baseColWidth="10" defaultColWidth="11.44140625" defaultRowHeight="14.4" x14ac:dyDescent="0.3"/>
  <cols>
    <col min="1" max="1" width="55" style="435" customWidth="1"/>
    <col min="2" max="13" width="8.5546875" style="440" customWidth="1"/>
    <col min="14" max="14" width="9.5546875" style="440" customWidth="1"/>
    <col min="15" max="15" width="66.5546875" style="404" customWidth="1"/>
    <col min="16" max="16384" width="11.44140625" style="404"/>
  </cols>
  <sheetData>
    <row r="1" spans="1:15" x14ac:dyDescent="0.3">
      <c r="A1" s="26"/>
      <c r="B1" s="26"/>
      <c r="C1" s="26"/>
      <c r="D1" s="26"/>
      <c r="E1" s="26"/>
      <c r="F1" s="26"/>
      <c r="G1" s="26"/>
      <c r="H1" s="26"/>
      <c r="I1" s="26"/>
      <c r="J1" s="26"/>
      <c r="K1" s="26"/>
      <c r="L1" s="26"/>
      <c r="M1" s="26"/>
      <c r="N1" s="661" t="str">
        <f>Accueil!I6</f>
        <v>Version 1.15</v>
      </c>
      <c r="O1" s="661"/>
    </row>
    <row r="2" spans="1:15" x14ac:dyDescent="0.3">
      <c r="A2" s="26"/>
      <c r="B2" s="26"/>
      <c r="C2" s="26"/>
      <c r="D2" s="26"/>
      <c r="E2" s="26"/>
      <c r="F2" s="26"/>
      <c r="G2" s="26"/>
      <c r="H2" s="26"/>
      <c r="I2" s="26"/>
      <c r="J2" s="26"/>
      <c r="K2" s="26"/>
      <c r="L2" s="26"/>
      <c r="M2" s="26"/>
      <c r="N2" s="26"/>
      <c r="O2" s="26"/>
    </row>
    <row r="3" spans="1:15" x14ac:dyDescent="0.3">
      <c r="A3" s="26"/>
      <c r="B3" s="26"/>
      <c r="C3" s="26"/>
      <c r="D3" s="26"/>
      <c r="E3" s="26"/>
      <c r="F3" s="26"/>
      <c r="G3" s="26"/>
      <c r="H3" s="26"/>
      <c r="I3" s="26"/>
      <c r="J3" s="26"/>
      <c r="K3" s="26"/>
      <c r="L3" s="26"/>
      <c r="M3" s="26"/>
      <c r="N3" s="26"/>
      <c r="O3" s="26"/>
    </row>
    <row r="4" spans="1:15" x14ac:dyDescent="0.3">
      <c r="A4" s="26"/>
      <c r="B4" s="26"/>
      <c r="C4" s="26"/>
      <c r="D4" s="26"/>
      <c r="E4" s="26"/>
      <c r="F4" s="26"/>
      <c r="G4" s="26"/>
      <c r="H4" s="26"/>
      <c r="I4" s="26"/>
      <c r="J4" s="26"/>
      <c r="K4" s="26"/>
      <c r="L4" s="26"/>
      <c r="M4" s="26"/>
      <c r="N4" s="26"/>
      <c r="O4" s="26"/>
    </row>
    <row r="5" spans="1:15" x14ac:dyDescent="0.3">
      <c r="A5" s="26"/>
      <c r="B5" s="26"/>
      <c r="C5" s="26"/>
      <c r="D5" s="26"/>
      <c r="E5" s="26"/>
      <c r="F5" s="26"/>
      <c r="G5" s="26"/>
      <c r="H5" s="26"/>
      <c r="I5" s="26"/>
      <c r="J5" s="26"/>
      <c r="K5" s="26"/>
      <c r="L5" s="26"/>
      <c r="M5" s="26"/>
      <c r="N5" s="26"/>
      <c r="O5" s="26"/>
    </row>
    <row r="6" spans="1:15" x14ac:dyDescent="0.3">
      <c r="B6" s="435"/>
      <c r="C6" s="435"/>
      <c r="D6" s="435"/>
      <c r="E6" s="435"/>
      <c r="F6" s="435"/>
      <c r="G6" s="435"/>
      <c r="H6" s="435"/>
      <c r="I6" s="435"/>
      <c r="J6" s="435"/>
      <c r="K6" s="435"/>
      <c r="L6" s="435"/>
      <c r="M6" s="435"/>
      <c r="N6" s="435"/>
    </row>
    <row r="7" spans="1:15" x14ac:dyDescent="0.3">
      <c r="A7" s="448" t="str">
        <f>("Calcul de l'assolement de la SAU en horticulture - pépinière lors de la campagne évaluée ("&amp;Surfaces!O173&amp;")")</f>
        <v>Calcul de l'assolement de la SAU en horticulture - pépinière lors de la campagne évaluée (N)</v>
      </c>
      <c r="B7" s="449"/>
      <c r="C7" s="449"/>
      <c r="D7" s="449"/>
      <c r="E7" s="449"/>
      <c r="F7" s="449"/>
      <c r="G7" s="449"/>
      <c r="H7" s="449"/>
      <c r="I7" s="450"/>
      <c r="J7" s="449"/>
      <c r="K7" s="449"/>
      <c r="L7" s="449"/>
      <c r="M7" s="449"/>
      <c r="N7" s="449"/>
      <c r="O7" s="449"/>
    </row>
    <row r="8" spans="1:15" x14ac:dyDescent="0.3">
      <c r="A8" s="434" t="str">
        <f>"Saisir la surface cultivée pour chaque plante et la surface non cultivée chaque mois de la campagne "&amp;Surfaces!O173&amp;" (zone B6 à M30)."</f>
        <v>Saisir la surface cultivée pour chaque plante et la surface non cultivée chaque mois de la campagne N (zone B6 à M30).</v>
      </c>
      <c r="B8" s="404"/>
      <c r="C8" s="404"/>
      <c r="D8" s="404"/>
      <c r="E8" s="404"/>
      <c r="F8" s="404"/>
      <c r="G8" s="404"/>
      <c r="H8" s="404"/>
      <c r="I8" s="404"/>
      <c r="J8" s="404"/>
      <c r="K8" s="404"/>
      <c r="L8" s="404"/>
      <c r="M8" s="404"/>
      <c r="N8" s="404"/>
    </row>
    <row r="9" spans="1:15" x14ac:dyDescent="0.3">
      <c r="B9" s="435"/>
      <c r="C9" s="435"/>
      <c r="D9" s="435"/>
      <c r="E9" s="435"/>
      <c r="F9" s="435"/>
      <c r="G9" s="435"/>
      <c r="H9" s="435"/>
      <c r="I9" s="435"/>
      <c r="J9" s="435"/>
      <c r="K9" s="435"/>
      <c r="L9" s="435"/>
      <c r="M9" s="435"/>
      <c r="N9" s="435"/>
    </row>
    <row r="10" spans="1:15" x14ac:dyDescent="0.3">
      <c r="A10" s="436"/>
      <c r="B10" s="441">
        <v>1</v>
      </c>
      <c r="C10" s="441">
        <v>2</v>
      </c>
      <c r="D10" s="441">
        <v>3</v>
      </c>
      <c r="E10" s="441">
        <v>4</v>
      </c>
      <c r="F10" s="441">
        <v>5</v>
      </c>
      <c r="G10" s="441">
        <v>6</v>
      </c>
      <c r="H10" s="441">
        <v>7</v>
      </c>
      <c r="I10" s="441">
        <v>8</v>
      </c>
      <c r="J10" s="441">
        <v>9</v>
      </c>
      <c r="K10" s="441">
        <v>10</v>
      </c>
      <c r="L10" s="441">
        <v>11</v>
      </c>
      <c r="M10" s="441">
        <v>12</v>
      </c>
      <c r="O10" s="439" t="s">
        <v>2791</v>
      </c>
    </row>
    <row r="11" spans="1:15" x14ac:dyDescent="0.3">
      <c r="A11" s="437" t="s">
        <v>2783</v>
      </c>
      <c r="B11" s="433"/>
      <c r="C11" s="433"/>
      <c r="D11" s="433"/>
      <c r="E11" s="433"/>
      <c r="F11" s="433"/>
      <c r="G11" s="433"/>
      <c r="H11" s="433"/>
      <c r="I11" s="433"/>
      <c r="J11" s="433"/>
      <c r="K11" s="433"/>
      <c r="L11" s="433"/>
      <c r="M11" s="433"/>
      <c r="N11" s="102" t="s">
        <v>2785</v>
      </c>
    </row>
    <row r="12" spans="1:15" x14ac:dyDescent="0.3">
      <c r="A12" s="404" t="s">
        <v>2771</v>
      </c>
      <c r="B12" s="523"/>
      <c r="C12" s="523"/>
      <c r="D12" s="523"/>
      <c r="E12" s="523"/>
      <c r="F12" s="523"/>
      <c r="G12" s="523"/>
      <c r="H12" s="523"/>
      <c r="I12" s="523"/>
      <c r="J12" s="523"/>
      <c r="K12" s="523"/>
      <c r="L12" s="523"/>
      <c r="M12" s="523"/>
      <c r="N12" s="521">
        <f>SUM(B12:M12)/12</f>
        <v>0</v>
      </c>
    </row>
    <row r="13" spans="1:15" x14ac:dyDescent="0.3">
      <c r="A13" s="404" t="s">
        <v>385</v>
      </c>
      <c r="B13" s="523"/>
      <c r="C13" s="523"/>
      <c r="D13" s="523"/>
      <c r="E13" s="523"/>
      <c r="F13" s="523"/>
      <c r="G13" s="523"/>
      <c r="H13" s="523"/>
      <c r="I13" s="523"/>
      <c r="J13" s="523"/>
      <c r="K13" s="523"/>
      <c r="L13" s="523"/>
      <c r="M13" s="523"/>
      <c r="N13" s="521">
        <f t="shared" ref="N13:N19" si="0">SUM(B13:M13)/12</f>
        <v>0</v>
      </c>
    </row>
    <row r="14" spans="1:15" x14ac:dyDescent="0.3">
      <c r="A14" s="404" t="s">
        <v>401</v>
      </c>
      <c r="B14" s="523"/>
      <c r="C14" s="523"/>
      <c r="D14" s="523"/>
      <c r="E14" s="523"/>
      <c r="F14" s="523"/>
      <c r="G14" s="523"/>
      <c r="H14" s="523"/>
      <c r="I14" s="523"/>
      <c r="J14" s="523"/>
      <c r="K14" s="523"/>
      <c r="L14" s="523"/>
      <c r="M14" s="523"/>
      <c r="N14" s="521">
        <f t="shared" si="0"/>
        <v>0</v>
      </c>
    </row>
    <row r="15" spans="1:15" x14ac:dyDescent="0.3">
      <c r="A15" s="404" t="s">
        <v>402</v>
      </c>
      <c r="B15" s="523"/>
      <c r="C15" s="523"/>
      <c r="D15" s="523"/>
      <c r="E15" s="523"/>
      <c r="F15" s="523"/>
      <c r="G15" s="523"/>
      <c r="H15" s="523"/>
      <c r="I15" s="523"/>
      <c r="J15" s="523"/>
      <c r="K15" s="523"/>
      <c r="L15" s="523"/>
      <c r="M15" s="523"/>
      <c r="N15" s="521">
        <f t="shared" si="0"/>
        <v>0</v>
      </c>
    </row>
    <row r="16" spans="1:15" x14ac:dyDescent="0.3">
      <c r="A16" s="404" t="s">
        <v>2770</v>
      </c>
      <c r="B16" s="523"/>
      <c r="C16" s="523"/>
      <c r="D16" s="523"/>
      <c r="E16" s="523"/>
      <c r="F16" s="523"/>
      <c r="G16" s="523"/>
      <c r="H16" s="523"/>
      <c r="I16" s="523"/>
      <c r="J16" s="523"/>
      <c r="K16" s="523"/>
      <c r="L16" s="523"/>
      <c r="M16" s="523"/>
      <c r="N16" s="521">
        <f t="shared" si="0"/>
        <v>0</v>
      </c>
    </row>
    <row r="17" spans="1:14" x14ac:dyDescent="0.3">
      <c r="A17" s="404" t="s">
        <v>2774</v>
      </c>
      <c r="B17" s="523"/>
      <c r="C17" s="523"/>
      <c r="D17" s="523"/>
      <c r="E17" s="523"/>
      <c r="F17" s="523"/>
      <c r="G17" s="523"/>
      <c r="H17" s="523"/>
      <c r="I17" s="523"/>
      <c r="J17" s="523"/>
      <c r="K17" s="523"/>
      <c r="L17" s="523"/>
      <c r="M17" s="523"/>
      <c r="N17" s="521">
        <f t="shared" si="0"/>
        <v>0</v>
      </c>
    </row>
    <row r="18" spans="1:14" x14ac:dyDescent="0.3">
      <c r="A18" s="404" t="s">
        <v>2772</v>
      </c>
      <c r="B18" s="523"/>
      <c r="C18" s="523"/>
      <c r="D18" s="523"/>
      <c r="E18" s="523"/>
      <c r="F18" s="523"/>
      <c r="G18" s="523"/>
      <c r="H18" s="523"/>
      <c r="I18" s="523"/>
      <c r="J18" s="523"/>
      <c r="K18" s="523"/>
      <c r="L18" s="523"/>
      <c r="M18" s="523"/>
      <c r="N18" s="521">
        <f t="shared" si="0"/>
        <v>0</v>
      </c>
    </row>
    <row r="19" spans="1:14" x14ac:dyDescent="0.3">
      <c r="A19" s="404" t="s">
        <v>2773</v>
      </c>
      <c r="B19" s="523"/>
      <c r="C19" s="523"/>
      <c r="D19" s="523"/>
      <c r="E19" s="523"/>
      <c r="F19" s="523"/>
      <c r="G19" s="523"/>
      <c r="H19" s="523"/>
      <c r="I19" s="523"/>
      <c r="J19" s="523"/>
      <c r="K19" s="523"/>
      <c r="L19" s="523"/>
      <c r="M19" s="523"/>
      <c r="N19" s="521">
        <f t="shared" si="0"/>
        <v>0</v>
      </c>
    </row>
    <row r="20" spans="1:14" x14ac:dyDescent="0.3">
      <c r="A20" s="437" t="s">
        <v>2784</v>
      </c>
      <c r="B20" s="531"/>
      <c r="C20" s="531"/>
      <c r="D20" s="531"/>
      <c r="E20" s="531"/>
      <c r="F20" s="531"/>
      <c r="G20" s="531"/>
      <c r="H20" s="531"/>
      <c r="I20" s="531"/>
      <c r="J20" s="531"/>
      <c r="K20" s="531"/>
      <c r="L20" s="531"/>
      <c r="M20" s="531"/>
      <c r="N20" s="532"/>
    </row>
    <row r="21" spans="1:14" x14ac:dyDescent="0.3">
      <c r="A21" s="404" t="s">
        <v>397</v>
      </c>
      <c r="B21" s="523"/>
      <c r="C21" s="523"/>
      <c r="D21" s="523"/>
      <c r="E21" s="523"/>
      <c r="F21" s="523"/>
      <c r="G21" s="523"/>
      <c r="H21" s="523"/>
      <c r="I21" s="523"/>
      <c r="J21" s="523"/>
      <c r="K21" s="523"/>
      <c r="L21" s="523"/>
      <c r="M21" s="523"/>
      <c r="N21" s="521">
        <f>SUM(B21:M21)/12</f>
        <v>0</v>
      </c>
    </row>
    <row r="22" spans="1:14" x14ac:dyDescent="0.3">
      <c r="A22" s="404" t="s">
        <v>398</v>
      </c>
      <c r="B22" s="523"/>
      <c r="C22" s="523"/>
      <c r="D22" s="523"/>
      <c r="E22" s="523"/>
      <c r="F22" s="523"/>
      <c r="G22" s="523"/>
      <c r="H22" s="523"/>
      <c r="I22" s="523"/>
      <c r="J22" s="523"/>
      <c r="K22" s="523"/>
      <c r="L22" s="523"/>
      <c r="M22" s="523"/>
      <c r="N22" s="521">
        <f t="shared" ref="N22:N32" si="1">SUM(B22:M22)/12</f>
        <v>0</v>
      </c>
    </row>
    <row r="23" spans="1:14" x14ac:dyDescent="0.3">
      <c r="A23" s="404" t="s">
        <v>399</v>
      </c>
      <c r="B23" s="523"/>
      <c r="C23" s="523"/>
      <c r="D23" s="523"/>
      <c r="E23" s="523"/>
      <c r="F23" s="523"/>
      <c r="G23" s="523"/>
      <c r="H23" s="523"/>
      <c r="I23" s="523"/>
      <c r="J23" s="523"/>
      <c r="K23" s="523"/>
      <c r="L23" s="523"/>
      <c r="M23" s="523"/>
      <c r="N23" s="521">
        <f t="shared" si="1"/>
        <v>0</v>
      </c>
    </row>
    <row r="24" spans="1:14" x14ac:dyDescent="0.3">
      <c r="A24" s="404" t="s">
        <v>385</v>
      </c>
      <c r="B24" s="523"/>
      <c r="C24" s="523"/>
      <c r="D24" s="523"/>
      <c r="E24" s="523"/>
      <c r="F24" s="523"/>
      <c r="G24" s="523"/>
      <c r="H24" s="523"/>
      <c r="I24" s="523"/>
      <c r="J24" s="523"/>
      <c r="K24" s="523"/>
      <c r="L24" s="523"/>
      <c r="M24" s="523"/>
      <c r="N24" s="521">
        <f t="shared" si="1"/>
        <v>0</v>
      </c>
    </row>
    <row r="25" spans="1:14" x14ac:dyDescent="0.3">
      <c r="A25" s="404" t="s">
        <v>401</v>
      </c>
      <c r="B25" s="523"/>
      <c r="C25" s="523"/>
      <c r="D25" s="523"/>
      <c r="E25" s="523"/>
      <c r="F25" s="523"/>
      <c r="G25" s="523"/>
      <c r="H25" s="523"/>
      <c r="I25" s="523"/>
      <c r="J25" s="523"/>
      <c r="K25" s="523"/>
      <c r="L25" s="523"/>
      <c r="M25" s="523"/>
      <c r="N25" s="521">
        <f t="shared" si="1"/>
        <v>0</v>
      </c>
    </row>
    <row r="26" spans="1:14" x14ac:dyDescent="0.3">
      <c r="A26" s="404" t="s">
        <v>2770</v>
      </c>
      <c r="B26" s="523"/>
      <c r="C26" s="523"/>
      <c r="D26" s="523"/>
      <c r="E26" s="523"/>
      <c r="F26" s="523"/>
      <c r="G26" s="523"/>
      <c r="H26" s="523"/>
      <c r="I26" s="523"/>
      <c r="J26" s="523"/>
      <c r="K26" s="523"/>
      <c r="L26" s="523"/>
      <c r="M26" s="523"/>
      <c r="N26" s="521">
        <f t="shared" si="1"/>
        <v>0</v>
      </c>
    </row>
    <row r="27" spans="1:14" x14ac:dyDescent="0.3">
      <c r="A27" s="404" t="s">
        <v>402</v>
      </c>
      <c r="B27" s="523"/>
      <c r="C27" s="523"/>
      <c r="D27" s="523"/>
      <c r="E27" s="523"/>
      <c r="F27" s="523"/>
      <c r="G27" s="523"/>
      <c r="H27" s="523"/>
      <c r="I27" s="523"/>
      <c r="J27" s="523"/>
      <c r="K27" s="523"/>
      <c r="L27" s="523"/>
      <c r="M27" s="523"/>
      <c r="N27" s="521">
        <f t="shared" si="1"/>
        <v>0</v>
      </c>
    </row>
    <row r="28" spans="1:14" x14ac:dyDescent="0.3">
      <c r="A28" s="404" t="s">
        <v>403</v>
      </c>
      <c r="B28" s="523"/>
      <c r="C28" s="523"/>
      <c r="D28" s="523"/>
      <c r="E28" s="523"/>
      <c r="F28" s="523"/>
      <c r="G28" s="523"/>
      <c r="H28" s="523"/>
      <c r="I28" s="523"/>
      <c r="J28" s="523"/>
      <c r="K28" s="523"/>
      <c r="L28" s="523"/>
      <c r="M28" s="523"/>
      <c r="N28" s="521">
        <f t="shared" si="1"/>
        <v>0</v>
      </c>
    </row>
    <row r="29" spans="1:14" x14ac:dyDescent="0.3">
      <c r="A29" s="404" t="s">
        <v>404</v>
      </c>
      <c r="B29" s="523"/>
      <c r="C29" s="523"/>
      <c r="D29" s="523"/>
      <c r="E29" s="523"/>
      <c r="F29" s="523"/>
      <c r="G29" s="523"/>
      <c r="H29" s="523"/>
      <c r="I29" s="523"/>
      <c r="J29" s="523"/>
      <c r="K29" s="523"/>
      <c r="L29" s="523"/>
      <c r="M29" s="523"/>
      <c r="N29" s="521">
        <f t="shared" si="1"/>
        <v>0</v>
      </c>
    </row>
    <row r="30" spans="1:14" x14ac:dyDescent="0.3">
      <c r="A30" s="404" t="s">
        <v>405</v>
      </c>
      <c r="B30" s="523"/>
      <c r="C30" s="523"/>
      <c r="D30" s="523"/>
      <c r="E30" s="523"/>
      <c r="F30" s="523"/>
      <c r="G30" s="523"/>
      <c r="H30" s="523"/>
      <c r="I30" s="523"/>
      <c r="J30" s="523"/>
      <c r="K30" s="523"/>
      <c r="L30" s="523"/>
      <c r="M30" s="523"/>
      <c r="N30" s="521">
        <f t="shared" si="1"/>
        <v>0</v>
      </c>
    </row>
    <row r="31" spans="1:14" x14ac:dyDescent="0.3">
      <c r="A31" s="404" t="s">
        <v>406</v>
      </c>
      <c r="B31" s="523"/>
      <c r="C31" s="523"/>
      <c r="D31" s="523"/>
      <c r="E31" s="523"/>
      <c r="F31" s="523"/>
      <c r="G31" s="523"/>
      <c r="H31" s="523"/>
      <c r="I31" s="523"/>
      <c r="J31" s="523"/>
      <c r="K31" s="523"/>
      <c r="L31" s="523"/>
      <c r="M31" s="523"/>
      <c r="N31" s="521">
        <f t="shared" si="1"/>
        <v>0</v>
      </c>
    </row>
    <row r="32" spans="1:14" x14ac:dyDescent="0.3">
      <c r="A32" s="404" t="s">
        <v>407</v>
      </c>
      <c r="B32" s="523"/>
      <c r="C32" s="523"/>
      <c r="D32" s="523"/>
      <c r="E32" s="523"/>
      <c r="F32" s="523"/>
      <c r="G32" s="523"/>
      <c r="H32" s="523"/>
      <c r="I32" s="523"/>
      <c r="J32" s="523"/>
      <c r="K32" s="523"/>
      <c r="L32" s="523"/>
      <c r="M32" s="523"/>
      <c r="N32" s="521">
        <f t="shared" si="1"/>
        <v>0</v>
      </c>
    </row>
    <row r="33" spans="1:15" x14ac:dyDescent="0.3">
      <c r="A33" s="404" t="s">
        <v>2775</v>
      </c>
      <c r="B33" s="523"/>
      <c r="C33" s="523"/>
      <c r="D33" s="523"/>
      <c r="E33" s="523"/>
      <c r="F33" s="523"/>
      <c r="G33" s="523"/>
      <c r="H33" s="523"/>
      <c r="I33" s="523"/>
      <c r="J33" s="523"/>
      <c r="K33" s="523"/>
      <c r="L33" s="523"/>
      <c r="M33" s="523"/>
      <c r="N33" s="521">
        <f>SUM(B33:M33)/12</f>
        <v>0</v>
      </c>
    </row>
    <row r="34" spans="1:15" x14ac:dyDescent="0.3">
      <c r="A34" s="437" t="s">
        <v>2789</v>
      </c>
      <c r="B34" s="531"/>
      <c r="C34" s="531"/>
      <c r="D34" s="531"/>
      <c r="E34" s="531"/>
      <c r="F34" s="531"/>
      <c r="G34" s="531"/>
      <c r="H34" s="531"/>
      <c r="I34" s="531"/>
      <c r="J34" s="531"/>
      <c r="K34" s="531"/>
      <c r="L34" s="531"/>
      <c r="M34" s="531"/>
      <c r="N34" s="532"/>
    </row>
    <row r="35" spans="1:15" x14ac:dyDescent="0.3">
      <c r="A35" s="404" t="s">
        <v>2800</v>
      </c>
      <c r="B35" s="523"/>
      <c r="C35" s="523"/>
      <c r="D35" s="523"/>
      <c r="E35" s="523"/>
      <c r="F35" s="523"/>
      <c r="G35" s="523"/>
      <c r="H35" s="523"/>
      <c r="I35" s="523"/>
      <c r="J35" s="523"/>
      <c r="K35" s="523"/>
      <c r="L35" s="523"/>
      <c r="M35" s="523"/>
      <c r="N35" s="521">
        <f t="shared" ref="N35:N40" si="2">SUM(B35:M35)/12</f>
        <v>0</v>
      </c>
    </row>
    <row r="36" spans="1:15" x14ac:dyDescent="0.3">
      <c r="A36" s="404" t="s">
        <v>2799</v>
      </c>
      <c r="B36" s="523"/>
      <c r="C36" s="523"/>
      <c r="D36" s="523"/>
      <c r="E36" s="523"/>
      <c r="F36" s="523"/>
      <c r="G36" s="523"/>
      <c r="H36" s="523"/>
      <c r="I36" s="523"/>
      <c r="J36" s="523"/>
      <c r="K36" s="523"/>
      <c r="L36" s="523"/>
      <c r="M36" s="523"/>
      <c r="N36" s="521">
        <f t="shared" si="2"/>
        <v>0</v>
      </c>
    </row>
    <row r="37" spans="1:15" x14ac:dyDescent="0.3">
      <c r="A37" s="438"/>
      <c r="N37" s="584"/>
      <c r="O37" s="584"/>
    </row>
    <row r="38" spans="1:15" x14ac:dyDescent="0.3">
      <c r="A38" s="442" t="s">
        <v>2781</v>
      </c>
      <c r="B38" s="533">
        <f t="shared" ref="B38:M38" si="3">SUM(B12:B33)</f>
        <v>0</v>
      </c>
      <c r="C38" s="533">
        <f t="shared" si="3"/>
        <v>0</v>
      </c>
      <c r="D38" s="533">
        <f t="shared" si="3"/>
        <v>0</v>
      </c>
      <c r="E38" s="533">
        <f t="shared" si="3"/>
        <v>0</v>
      </c>
      <c r="F38" s="533">
        <f t="shared" si="3"/>
        <v>0</v>
      </c>
      <c r="G38" s="533">
        <f t="shared" si="3"/>
        <v>0</v>
      </c>
      <c r="H38" s="533">
        <f t="shared" si="3"/>
        <v>0</v>
      </c>
      <c r="I38" s="533">
        <f t="shared" si="3"/>
        <v>0</v>
      </c>
      <c r="J38" s="533">
        <f t="shared" si="3"/>
        <v>0</v>
      </c>
      <c r="K38" s="533">
        <f t="shared" si="3"/>
        <v>0</v>
      </c>
      <c r="L38" s="533">
        <f t="shared" si="3"/>
        <v>0</v>
      </c>
      <c r="M38" s="533">
        <f t="shared" si="3"/>
        <v>0</v>
      </c>
      <c r="N38" s="533">
        <f t="shared" si="2"/>
        <v>0</v>
      </c>
      <c r="O38" s="447"/>
    </row>
    <row r="39" spans="1:15" ht="43.2" x14ac:dyDescent="0.3">
      <c r="A39" s="436" t="str">
        <f>("SAU totale en horticulture - pépinière lors de la campagne évaluée ("&amp;Surfaces!O173&amp;")")</f>
        <v>SAU totale en horticulture - pépinière lors de la campagne évaluée (N)</v>
      </c>
      <c r="B39" s="534">
        <f t="shared" ref="B39:M39" si="4">B38+B35</f>
        <v>0</v>
      </c>
      <c r="C39" s="534">
        <f t="shared" si="4"/>
        <v>0</v>
      </c>
      <c r="D39" s="534">
        <f t="shared" si="4"/>
        <v>0</v>
      </c>
      <c r="E39" s="534">
        <f t="shared" si="4"/>
        <v>0</v>
      </c>
      <c r="F39" s="534">
        <f t="shared" si="4"/>
        <v>0</v>
      </c>
      <c r="G39" s="534">
        <f t="shared" si="4"/>
        <v>0</v>
      </c>
      <c r="H39" s="534">
        <f t="shared" si="4"/>
        <v>0</v>
      </c>
      <c r="I39" s="534">
        <f t="shared" si="4"/>
        <v>0</v>
      </c>
      <c r="J39" s="534">
        <f t="shared" si="4"/>
        <v>0</v>
      </c>
      <c r="K39" s="534">
        <f t="shared" si="4"/>
        <v>0</v>
      </c>
      <c r="L39" s="534">
        <f t="shared" si="4"/>
        <v>0</v>
      </c>
      <c r="M39" s="534">
        <f t="shared" si="4"/>
        <v>0</v>
      </c>
      <c r="N39" s="534">
        <f>SUM(B39:M39)/12</f>
        <v>0</v>
      </c>
      <c r="O39" s="446" t="s">
        <v>2792</v>
      </c>
    </row>
    <row r="40" spans="1:15" ht="28.8" x14ac:dyDescent="0.3">
      <c r="A40" s="443" t="s">
        <v>2782</v>
      </c>
      <c r="B40" s="533">
        <f t="shared" ref="B40:M40" si="5">SUM(B12:B16,B18,B21,B23:B27)</f>
        <v>0</v>
      </c>
      <c r="C40" s="533">
        <f t="shared" si="5"/>
        <v>0</v>
      </c>
      <c r="D40" s="533">
        <f t="shared" si="5"/>
        <v>0</v>
      </c>
      <c r="E40" s="533">
        <f t="shared" si="5"/>
        <v>0</v>
      </c>
      <c r="F40" s="533">
        <f t="shared" si="5"/>
        <v>0</v>
      </c>
      <c r="G40" s="533">
        <f t="shared" si="5"/>
        <v>0</v>
      </c>
      <c r="H40" s="533">
        <f t="shared" si="5"/>
        <v>0</v>
      </c>
      <c r="I40" s="533">
        <f t="shared" si="5"/>
        <v>0</v>
      </c>
      <c r="J40" s="533">
        <f t="shared" si="5"/>
        <v>0</v>
      </c>
      <c r="K40" s="533">
        <f t="shared" si="5"/>
        <v>0</v>
      </c>
      <c r="L40" s="533">
        <f t="shared" si="5"/>
        <v>0</v>
      </c>
      <c r="M40" s="533">
        <f t="shared" si="5"/>
        <v>0</v>
      </c>
      <c r="N40" s="533">
        <f t="shared" si="2"/>
        <v>0</v>
      </c>
      <c r="O40" s="439"/>
    </row>
    <row r="41" spans="1:15" ht="43.2" x14ac:dyDescent="0.3">
      <c r="A41" s="436" t="str">
        <f>("SAU totale en horticulture - pépinière hors sol lors de la campagne évaluée ("&amp;Surfaces!O173&amp;")")</f>
        <v>SAU totale en horticulture - pépinière hors sol lors de la campagne évaluée (N)</v>
      </c>
      <c r="B41" s="534">
        <f t="shared" ref="B41:M41" si="6">B40+B36</f>
        <v>0</v>
      </c>
      <c r="C41" s="534">
        <f t="shared" si="6"/>
        <v>0</v>
      </c>
      <c r="D41" s="534">
        <f t="shared" si="6"/>
        <v>0</v>
      </c>
      <c r="E41" s="534">
        <f t="shared" si="6"/>
        <v>0</v>
      </c>
      <c r="F41" s="534">
        <f t="shared" si="6"/>
        <v>0</v>
      </c>
      <c r="G41" s="534">
        <f t="shared" si="6"/>
        <v>0</v>
      </c>
      <c r="H41" s="534">
        <f t="shared" si="6"/>
        <v>0</v>
      </c>
      <c r="I41" s="534">
        <f t="shared" si="6"/>
        <v>0</v>
      </c>
      <c r="J41" s="534">
        <f t="shared" si="6"/>
        <v>0</v>
      </c>
      <c r="K41" s="534">
        <f t="shared" si="6"/>
        <v>0</v>
      </c>
      <c r="L41" s="534">
        <f t="shared" si="6"/>
        <v>0</v>
      </c>
      <c r="M41" s="534">
        <f t="shared" si="6"/>
        <v>0</v>
      </c>
      <c r="N41" s="534">
        <f>SUM(B41:M41)/12</f>
        <v>0</v>
      </c>
      <c r="O41" s="446" t="s">
        <v>2793</v>
      </c>
    </row>
    <row r="42" spans="1:15" x14ac:dyDescent="0.3">
      <c r="A42" s="438"/>
    </row>
    <row r="43" spans="1:15" x14ac:dyDescent="0.3">
      <c r="A43" s="444"/>
    </row>
    <row r="44" spans="1:15" x14ac:dyDescent="0.3">
      <c r="A44" s="448" t="str">
        <f>("Calcul de l'assolement de la SAU en horticulture - pépinière lors de la campagne n-1 ("&amp;Surfaces!P173&amp;")")</f>
        <v>Calcul de l'assolement de la SAU en horticulture - pépinière lors de la campagne n-1 (N-1)</v>
      </c>
      <c r="B44" s="449"/>
      <c r="C44" s="449"/>
      <c r="D44" s="449"/>
      <c r="E44" s="449"/>
      <c r="F44" s="449"/>
      <c r="G44" s="449"/>
      <c r="H44" s="449"/>
      <c r="I44" s="450"/>
      <c r="J44" s="449"/>
      <c r="K44" s="449"/>
      <c r="L44" s="449"/>
      <c r="M44" s="449"/>
      <c r="N44" s="449"/>
      <c r="O44" s="449"/>
    </row>
    <row r="45" spans="1:15" x14ac:dyDescent="0.3">
      <c r="A45" s="434" t="str">
        <f>"Saisir la surface cultivée pour chaque plante et la surface non cultivée chaque mois de la campagne "&amp;Surfaces!P173&amp;" (zone B43 à M67)."</f>
        <v>Saisir la surface cultivée pour chaque plante et la surface non cultivée chaque mois de la campagne N-1 (zone B43 à M67).</v>
      </c>
      <c r="B45" s="404"/>
      <c r="C45" s="404"/>
      <c r="D45" s="404"/>
      <c r="E45" s="404"/>
      <c r="F45" s="404"/>
      <c r="G45" s="404"/>
      <c r="H45" s="404"/>
      <c r="I45" s="404"/>
      <c r="J45" s="404"/>
      <c r="K45" s="404"/>
      <c r="L45" s="404"/>
      <c r="M45" s="404"/>
      <c r="N45" s="404"/>
    </row>
    <row r="46" spans="1:15" x14ac:dyDescent="0.3">
      <c r="B46" s="435"/>
      <c r="C46" s="435"/>
      <c r="D46" s="435"/>
      <c r="E46" s="435"/>
      <c r="F46" s="435"/>
      <c r="G46" s="435"/>
      <c r="H46" s="435"/>
      <c r="I46" s="435"/>
      <c r="J46" s="435"/>
      <c r="K46" s="435"/>
      <c r="L46" s="435"/>
      <c r="M46" s="435"/>
      <c r="N46" s="435"/>
    </row>
    <row r="47" spans="1:15" x14ac:dyDescent="0.3">
      <c r="A47" s="436"/>
      <c r="B47" s="441">
        <v>1</v>
      </c>
      <c r="C47" s="441">
        <v>2</v>
      </c>
      <c r="D47" s="441">
        <v>3</v>
      </c>
      <c r="E47" s="441">
        <v>4</v>
      </c>
      <c r="F47" s="441">
        <v>5</v>
      </c>
      <c r="G47" s="441">
        <v>6</v>
      </c>
      <c r="H47" s="441">
        <v>7</v>
      </c>
      <c r="I47" s="441">
        <v>8</v>
      </c>
      <c r="J47" s="441">
        <v>9</v>
      </c>
      <c r="K47" s="441">
        <v>10</v>
      </c>
      <c r="L47" s="441">
        <v>11</v>
      </c>
      <c r="M47" s="441">
        <v>12</v>
      </c>
      <c r="O47" s="439" t="s">
        <v>2790</v>
      </c>
    </row>
    <row r="48" spans="1:15" x14ac:dyDescent="0.3">
      <c r="A48" s="437" t="s">
        <v>2783</v>
      </c>
      <c r="B48" s="433"/>
      <c r="C48" s="433"/>
      <c r="D48" s="433"/>
      <c r="E48" s="433"/>
      <c r="F48" s="433"/>
      <c r="G48" s="433"/>
      <c r="H48" s="433"/>
      <c r="I48" s="433"/>
      <c r="J48" s="433"/>
      <c r="K48" s="433"/>
      <c r="L48" s="433"/>
      <c r="M48" s="433"/>
      <c r="N48" s="102" t="s">
        <v>2785</v>
      </c>
    </row>
    <row r="49" spans="1:14" x14ac:dyDescent="0.3">
      <c r="A49" s="404" t="s">
        <v>2771</v>
      </c>
      <c r="B49" s="523"/>
      <c r="C49" s="523"/>
      <c r="D49" s="523"/>
      <c r="E49" s="523"/>
      <c r="F49" s="523"/>
      <c r="G49" s="523"/>
      <c r="H49" s="523"/>
      <c r="I49" s="523"/>
      <c r="J49" s="523"/>
      <c r="K49" s="523"/>
      <c r="L49" s="523"/>
      <c r="M49" s="523"/>
      <c r="N49" s="521">
        <f>SUM(B49:M49)/12</f>
        <v>0</v>
      </c>
    </row>
    <row r="50" spans="1:14" x14ac:dyDescent="0.3">
      <c r="A50" s="404" t="s">
        <v>385</v>
      </c>
      <c r="B50" s="523"/>
      <c r="C50" s="523"/>
      <c r="D50" s="523"/>
      <c r="E50" s="523"/>
      <c r="F50" s="523"/>
      <c r="G50" s="523"/>
      <c r="H50" s="523"/>
      <c r="I50" s="523"/>
      <c r="J50" s="523"/>
      <c r="K50" s="523"/>
      <c r="L50" s="523"/>
      <c r="M50" s="523"/>
      <c r="N50" s="521">
        <f t="shared" ref="N50:N56" si="7">SUM(B50:M50)/12</f>
        <v>0</v>
      </c>
    </row>
    <row r="51" spans="1:14" x14ac:dyDescent="0.3">
      <c r="A51" s="404" t="s">
        <v>401</v>
      </c>
      <c r="B51" s="523"/>
      <c r="C51" s="523"/>
      <c r="D51" s="523"/>
      <c r="E51" s="523"/>
      <c r="F51" s="523"/>
      <c r="G51" s="523"/>
      <c r="H51" s="523"/>
      <c r="I51" s="523"/>
      <c r="J51" s="523"/>
      <c r="K51" s="523"/>
      <c r="L51" s="523"/>
      <c r="M51" s="523"/>
      <c r="N51" s="521">
        <f t="shared" si="7"/>
        <v>0</v>
      </c>
    </row>
    <row r="52" spans="1:14" x14ac:dyDescent="0.3">
      <c r="A52" s="404" t="s">
        <v>402</v>
      </c>
      <c r="B52" s="523"/>
      <c r="C52" s="523"/>
      <c r="D52" s="523"/>
      <c r="E52" s="523"/>
      <c r="F52" s="523"/>
      <c r="G52" s="523"/>
      <c r="H52" s="523"/>
      <c r="I52" s="523"/>
      <c r="J52" s="523"/>
      <c r="K52" s="523"/>
      <c r="L52" s="523"/>
      <c r="M52" s="523"/>
      <c r="N52" s="521">
        <f t="shared" si="7"/>
        <v>0</v>
      </c>
    </row>
    <row r="53" spans="1:14" x14ac:dyDescent="0.3">
      <c r="A53" s="404" t="s">
        <v>2770</v>
      </c>
      <c r="B53" s="523"/>
      <c r="C53" s="523"/>
      <c r="D53" s="523"/>
      <c r="E53" s="523"/>
      <c r="F53" s="523"/>
      <c r="G53" s="523"/>
      <c r="H53" s="523"/>
      <c r="I53" s="523"/>
      <c r="J53" s="523"/>
      <c r="K53" s="523"/>
      <c r="L53" s="523"/>
      <c r="M53" s="523"/>
      <c r="N53" s="521">
        <f t="shared" si="7"/>
        <v>0</v>
      </c>
    </row>
    <row r="54" spans="1:14" x14ac:dyDescent="0.3">
      <c r="A54" s="404" t="s">
        <v>2774</v>
      </c>
      <c r="B54" s="523"/>
      <c r="C54" s="523"/>
      <c r="D54" s="523"/>
      <c r="E54" s="523"/>
      <c r="F54" s="523"/>
      <c r="G54" s="523"/>
      <c r="H54" s="523"/>
      <c r="I54" s="523"/>
      <c r="J54" s="523"/>
      <c r="K54" s="523"/>
      <c r="L54" s="523"/>
      <c r="M54" s="523"/>
      <c r="N54" s="521">
        <f t="shared" si="7"/>
        <v>0</v>
      </c>
    </row>
    <row r="55" spans="1:14" x14ac:dyDescent="0.3">
      <c r="A55" s="404" t="s">
        <v>2772</v>
      </c>
      <c r="B55" s="523"/>
      <c r="C55" s="523"/>
      <c r="D55" s="523"/>
      <c r="E55" s="523"/>
      <c r="F55" s="523"/>
      <c r="G55" s="523"/>
      <c r="H55" s="523"/>
      <c r="I55" s="523"/>
      <c r="J55" s="523"/>
      <c r="K55" s="523"/>
      <c r="L55" s="523"/>
      <c r="M55" s="523"/>
      <c r="N55" s="521">
        <f t="shared" si="7"/>
        <v>0</v>
      </c>
    </row>
    <row r="56" spans="1:14" x14ac:dyDescent="0.3">
      <c r="A56" s="404" t="s">
        <v>2773</v>
      </c>
      <c r="B56" s="523"/>
      <c r="C56" s="523"/>
      <c r="D56" s="523"/>
      <c r="E56" s="523"/>
      <c r="F56" s="523"/>
      <c r="G56" s="523"/>
      <c r="H56" s="523"/>
      <c r="I56" s="523"/>
      <c r="J56" s="523"/>
      <c r="K56" s="523"/>
      <c r="L56" s="523"/>
      <c r="M56" s="523"/>
      <c r="N56" s="521">
        <f t="shared" si="7"/>
        <v>0</v>
      </c>
    </row>
    <row r="57" spans="1:14" x14ac:dyDescent="0.3">
      <c r="A57" s="437" t="s">
        <v>2784</v>
      </c>
      <c r="B57" s="531"/>
      <c r="C57" s="531"/>
      <c r="D57" s="531"/>
      <c r="E57" s="531"/>
      <c r="F57" s="531"/>
      <c r="G57" s="531"/>
      <c r="H57" s="531"/>
      <c r="I57" s="531"/>
      <c r="J57" s="531"/>
      <c r="K57" s="531"/>
      <c r="L57" s="531"/>
      <c r="M57" s="531"/>
      <c r="N57" s="532"/>
    </row>
    <row r="58" spans="1:14" x14ac:dyDescent="0.3">
      <c r="A58" s="404" t="s">
        <v>397</v>
      </c>
      <c r="B58" s="523"/>
      <c r="C58" s="523"/>
      <c r="D58" s="523"/>
      <c r="E58" s="523"/>
      <c r="F58" s="523"/>
      <c r="G58" s="523"/>
      <c r="H58" s="523"/>
      <c r="I58" s="523"/>
      <c r="J58" s="523"/>
      <c r="K58" s="523"/>
      <c r="L58" s="523"/>
      <c r="M58" s="523"/>
      <c r="N58" s="521">
        <f>SUM(B58:M58)/12</f>
        <v>0</v>
      </c>
    </row>
    <row r="59" spans="1:14" x14ac:dyDescent="0.3">
      <c r="A59" s="404" t="s">
        <v>398</v>
      </c>
      <c r="B59" s="523"/>
      <c r="C59" s="523"/>
      <c r="D59" s="523"/>
      <c r="E59" s="523"/>
      <c r="F59" s="523"/>
      <c r="G59" s="523"/>
      <c r="H59" s="523"/>
      <c r="I59" s="523"/>
      <c r="J59" s="523"/>
      <c r="K59" s="523"/>
      <c r="L59" s="523"/>
      <c r="M59" s="523"/>
      <c r="N59" s="521">
        <f t="shared" ref="N59:N69" si="8">SUM(B59:M59)/12</f>
        <v>0</v>
      </c>
    </row>
    <row r="60" spans="1:14" x14ac:dyDescent="0.3">
      <c r="A60" s="404" t="s">
        <v>399</v>
      </c>
      <c r="B60" s="523"/>
      <c r="C60" s="523"/>
      <c r="D60" s="523"/>
      <c r="E60" s="523"/>
      <c r="F60" s="523"/>
      <c r="G60" s="523"/>
      <c r="H60" s="523"/>
      <c r="I60" s="523"/>
      <c r="J60" s="523"/>
      <c r="K60" s="523"/>
      <c r="L60" s="523"/>
      <c r="M60" s="523"/>
      <c r="N60" s="521">
        <f t="shared" si="8"/>
        <v>0</v>
      </c>
    </row>
    <row r="61" spans="1:14" x14ac:dyDescent="0.3">
      <c r="A61" s="404" t="s">
        <v>385</v>
      </c>
      <c r="B61" s="523"/>
      <c r="C61" s="523"/>
      <c r="D61" s="523"/>
      <c r="E61" s="523"/>
      <c r="F61" s="523"/>
      <c r="G61" s="523"/>
      <c r="H61" s="523"/>
      <c r="I61" s="523"/>
      <c r="J61" s="523"/>
      <c r="K61" s="523"/>
      <c r="L61" s="523"/>
      <c r="M61" s="523"/>
      <c r="N61" s="521">
        <f t="shared" si="8"/>
        <v>0</v>
      </c>
    </row>
    <row r="62" spans="1:14" x14ac:dyDescent="0.3">
      <c r="A62" s="404" t="s">
        <v>401</v>
      </c>
      <c r="B62" s="523"/>
      <c r="C62" s="523"/>
      <c r="D62" s="523"/>
      <c r="E62" s="523"/>
      <c r="F62" s="523"/>
      <c r="G62" s="523"/>
      <c r="H62" s="523"/>
      <c r="I62" s="523"/>
      <c r="J62" s="523"/>
      <c r="K62" s="523"/>
      <c r="L62" s="523"/>
      <c r="M62" s="523"/>
      <c r="N62" s="521">
        <f t="shared" si="8"/>
        <v>0</v>
      </c>
    </row>
    <row r="63" spans="1:14" x14ac:dyDescent="0.3">
      <c r="A63" s="404" t="s">
        <v>2770</v>
      </c>
      <c r="B63" s="523"/>
      <c r="C63" s="523"/>
      <c r="D63" s="523"/>
      <c r="E63" s="523"/>
      <c r="F63" s="523"/>
      <c r="G63" s="523"/>
      <c r="H63" s="523"/>
      <c r="I63" s="523"/>
      <c r="J63" s="523"/>
      <c r="K63" s="523"/>
      <c r="L63" s="523"/>
      <c r="M63" s="523"/>
      <c r="N63" s="521">
        <f t="shared" si="8"/>
        <v>0</v>
      </c>
    </row>
    <row r="64" spans="1:14" x14ac:dyDescent="0.3">
      <c r="A64" s="404" t="s">
        <v>402</v>
      </c>
      <c r="B64" s="523"/>
      <c r="C64" s="523"/>
      <c r="D64" s="523"/>
      <c r="E64" s="523"/>
      <c r="F64" s="523"/>
      <c r="G64" s="523"/>
      <c r="H64" s="523"/>
      <c r="I64" s="523"/>
      <c r="J64" s="523"/>
      <c r="K64" s="523"/>
      <c r="L64" s="523"/>
      <c r="M64" s="523"/>
      <c r="N64" s="521">
        <f t="shared" si="8"/>
        <v>0</v>
      </c>
    </row>
    <row r="65" spans="1:15" x14ac:dyDescent="0.3">
      <c r="A65" s="404" t="s">
        <v>403</v>
      </c>
      <c r="B65" s="523"/>
      <c r="C65" s="523"/>
      <c r="D65" s="523"/>
      <c r="E65" s="523"/>
      <c r="F65" s="523"/>
      <c r="G65" s="523"/>
      <c r="H65" s="523"/>
      <c r="I65" s="523"/>
      <c r="J65" s="523"/>
      <c r="K65" s="523"/>
      <c r="L65" s="523"/>
      <c r="M65" s="523"/>
      <c r="N65" s="521">
        <f t="shared" si="8"/>
        <v>0</v>
      </c>
    </row>
    <row r="66" spans="1:15" x14ac:dyDescent="0.3">
      <c r="A66" s="404" t="s">
        <v>404</v>
      </c>
      <c r="B66" s="523"/>
      <c r="C66" s="523"/>
      <c r="D66" s="523"/>
      <c r="E66" s="523"/>
      <c r="F66" s="523"/>
      <c r="G66" s="523"/>
      <c r="H66" s="523"/>
      <c r="I66" s="523"/>
      <c r="J66" s="523"/>
      <c r="K66" s="523"/>
      <c r="L66" s="523"/>
      <c r="M66" s="523"/>
      <c r="N66" s="521">
        <f t="shared" si="8"/>
        <v>0</v>
      </c>
    </row>
    <row r="67" spans="1:15" x14ac:dyDescent="0.3">
      <c r="A67" s="404" t="s">
        <v>405</v>
      </c>
      <c r="B67" s="523"/>
      <c r="C67" s="523"/>
      <c r="D67" s="523"/>
      <c r="E67" s="523"/>
      <c r="F67" s="523"/>
      <c r="G67" s="523"/>
      <c r="H67" s="523"/>
      <c r="I67" s="523"/>
      <c r="J67" s="523"/>
      <c r="K67" s="523"/>
      <c r="L67" s="523"/>
      <c r="M67" s="523"/>
      <c r="N67" s="521">
        <f t="shared" si="8"/>
        <v>0</v>
      </c>
    </row>
    <row r="68" spans="1:15" x14ac:dyDescent="0.3">
      <c r="A68" s="404" t="s">
        <v>406</v>
      </c>
      <c r="B68" s="523"/>
      <c r="C68" s="523"/>
      <c r="D68" s="523"/>
      <c r="E68" s="523"/>
      <c r="F68" s="523"/>
      <c r="G68" s="523"/>
      <c r="H68" s="523"/>
      <c r="I68" s="523"/>
      <c r="J68" s="523"/>
      <c r="K68" s="523"/>
      <c r="L68" s="523"/>
      <c r="M68" s="523"/>
      <c r="N68" s="521">
        <f t="shared" si="8"/>
        <v>0</v>
      </c>
    </row>
    <row r="69" spans="1:15" x14ac:dyDescent="0.3">
      <c r="A69" s="404" t="s">
        <v>407</v>
      </c>
      <c r="B69" s="523"/>
      <c r="C69" s="523"/>
      <c r="D69" s="523"/>
      <c r="E69" s="523"/>
      <c r="F69" s="523"/>
      <c r="G69" s="523"/>
      <c r="H69" s="523"/>
      <c r="I69" s="523"/>
      <c r="J69" s="523"/>
      <c r="K69" s="523"/>
      <c r="L69" s="523"/>
      <c r="M69" s="523"/>
      <c r="N69" s="521">
        <f t="shared" si="8"/>
        <v>0</v>
      </c>
    </row>
    <row r="70" spans="1:15" x14ac:dyDescent="0.3">
      <c r="A70" s="404" t="s">
        <v>2775</v>
      </c>
      <c r="B70" s="523"/>
      <c r="C70" s="523"/>
      <c r="D70" s="523"/>
      <c r="E70" s="523"/>
      <c r="F70" s="523"/>
      <c r="G70" s="523"/>
      <c r="H70" s="523"/>
      <c r="I70" s="523"/>
      <c r="J70" s="523"/>
      <c r="K70" s="523"/>
      <c r="L70" s="523"/>
      <c r="M70" s="523"/>
      <c r="N70" s="521">
        <f>SUM(B70:M70)/12</f>
        <v>0</v>
      </c>
    </row>
    <row r="71" spans="1:15" x14ac:dyDescent="0.3">
      <c r="A71" s="437" t="s">
        <v>2789</v>
      </c>
      <c r="B71" s="531"/>
      <c r="C71" s="531"/>
      <c r="D71" s="531"/>
      <c r="E71" s="531"/>
      <c r="F71" s="531"/>
      <c r="G71" s="531"/>
      <c r="H71" s="531"/>
      <c r="I71" s="531"/>
      <c r="J71" s="531"/>
      <c r="K71" s="531"/>
      <c r="L71" s="531"/>
      <c r="M71" s="531"/>
      <c r="N71" s="532"/>
    </row>
    <row r="72" spans="1:15" x14ac:dyDescent="0.3">
      <c r="A72" s="404" t="s">
        <v>2800</v>
      </c>
      <c r="B72" s="523"/>
      <c r="C72" s="523"/>
      <c r="D72" s="523"/>
      <c r="E72" s="523"/>
      <c r="F72" s="523"/>
      <c r="G72" s="523"/>
      <c r="H72" s="523"/>
      <c r="I72" s="523"/>
      <c r="J72" s="523"/>
      <c r="K72" s="523"/>
      <c r="L72" s="523"/>
      <c r="M72" s="523"/>
      <c r="N72" s="521">
        <f>SUM(B72:M72)/12</f>
        <v>0</v>
      </c>
    </row>
    <row r="73" spans="1:15" x14ac:dyDescent="0.3">
      <c r="A73" s="404" t="s">
        <v>2799</v>
      </c>
      <c r="B73" s="523"/>
      <c r="C73" s="523"/>
      <c r="D73" s="523"/>
      <c r="E73" s="523"/>
      <c r="F73" s="523"/>
      <c r="G73" s="523"/>
      <c r="H73" s="523"/>
      <c r="I73" s="523"/>
      <c r="J73" s="523"/>
      <c r="K73" s="523"/>
      <c r="L73" s="523"/>
      <c r="M73" s="523"/>
      <c r="N73" s="521">
        <f>SUM(B73:M73)/12</f>
        <v>0</v>
      </c>
    </row>
    <row r="74" spans="1:15" x14ac:dyDescent="0.3">
      <c r="A74" s="438"/>
      <c r="N74" s="584"/>
      <c r="O74" s="584"/>
    </row>
    <row r="75" spans="1:15" x14ac:dyDescent="0.3">
      <c r="A75" s="442" t="s">
        <v>2781</v>
      </c>
      <c r="B75" s="533">
        <f t="shared" ref="B75:L75" si="9">SUM(B49:B70)</f>
        <v>0</v>
      </c>
      <c r="C75" s="533">
        <f t="shared" si="9"/>
        <v>0</v>
      </c>
      <c r="D75" s="533">
        <f t="shared" si="9"/>
        <v>0</v>
      </c>
      <c r="E75" s="533">
        <f t="shared" si="9"/>
        <v>0</v>
      </c>
      <c r="F75" s="533">
        <f t="shared" si="9"/>
        <v>0</v>
      </c>
      <c r="G75" s="533">
        <f t="shared" si="9"/>
        <v>0</v>
      </c>
      <c r="H75" s="533">
        <f t="shared" si="9"/>
        <v>0</v>
      </c>
      <c r="I75" s="533">
        <f t="shared" si="9"/>
        <v>0</v>
      </c>
      <c r="J75" s="533">
        <f t="shared" si="9"/>
        <v>0</v>
      </c>
      <c r="K75" s="533">
        <f t="shared" si="9"/>
        <v>0</v>
      </c>
      <c r="L75" s="533">
        <f t="shared" si="9"/>
        <v>0</v>
      </c>
      <c r="M75" s="533">
        <f>SUM(M49:M70)</f>
        <v>0</v>
      </c>
      <c r="N75" s="533">
        <f>SUM(B75:M75)/12</f>
        <v>0</v>
      </c>
      <c r="O75" s="447"/>
    </row>
    <row r="76" spans="1:15" ht="43.2" x14ac:dyDescent="0.3">
      <c r="A76" s="436" t="str">
        <f>("SAU totale en horticulture - pépinière lors de la campagne n-1 ("&amp;Surfaces!P173&amp;")")</f>
        <v>SAU totale en horticulture - pépinière lors de la campagne n-1 (N-1)</v>
      </c>
      <c r="B76" s="534">
        <f t="shared" ref="B76:M76" si="10">B75+B72</f>
        <v>0</v>
      </c>
      <c r="C76" s="534">
        <f t="shared" si="10"/>
        <v>0</v>
      </c>
      <c r="D76" s="534">
        <f t="shared" si="10"/>
        <v>0</v>
      </c>
      <c r="E76" s="534">
        <f t="shared" si="10"/>
        <v>0</v>
      </c>
      <c r="F76" s="534">
        <f t="shared" si="10"/>
        <v>0</v>
      </c>
      <c r="G76" s="534">
        <f t="shared" si="10"/>
        <v>0</v>
      </c>
      <c r="H76" s="534">
        <f t="shared" si="10"/>
        <v>0</v>
      </c>
      <c r="I76" s="534">
        <f t="shared" si="10"/>
        <v>0</v>
      </c>
      <c r="J76" s="534">
        <f t="shared" si="10"/>
        <v>0</v>
      </c>
      <c r="K76" s="534">
        <f t="shared" si="10"/>
        <v>0</v>
      </c>
      <c r="L76" s="534">
        <f t="shared" si="10"/>
        <v>0</v>
      </c>
      <c r="M76" s="534">
        <f t="shared" si="10"/>
        <v>0</v>
      </c>
      <c r="N76" s="534">
        <f>SUM(B76:M76)/12</f>
        <v>0</v>
      </c>
      <c r="O76" s="446" t="s">
        <v>2792</v>
      </c>
    </row>
    <row r="77" spans="1:15" ht="28.8" x14ac:dyDescent="0.3">
      <c r="A77" s="443" t="s">
        <v>2782</v>
      </c>
      <c r="B77" s="533">
        <f t="shared" ref="B77:L77" si="11">SUM(B49:B53,B55,B58,B60:B64)</f>
        <v>0</v>
      </c>
      <c r="C77" s="533">
        <f t="shared" si="11"/>
        <v>0</v>
      </c>
      <c r="D77" s="533">
        <f t="shared" si="11"/>
        <v>0</v>
      </c>
      <c r="E77" s="533">
        <f t="shared" si="11"/>
        <v>0</v>
      </c>
      <c r="F77" s="533">
        <f t="shared" si="11"/>
        <v>0</v>
      </c>
      <c r="G77" s="533">
        <f t="shared" si="11"/>
        <v>0</v>
      </c>
      <c r="H77" s="533">
        <f t="shared" si="11"/>
        <v>0</v>
      </c>
      <c r="I77" s="533">
        <f t="shared" si="11"/>
        <v>0</v>
      </c>
      <c r="J77" s="533">
        <f t="shared" si="11"/>
        <v>0</v>
      </c>
      <c r="K77" s="533">
        <f t="shared" si="11"/>
        <v>0</v>
      </c>
      <c r="L77" s="533">
        <f t="shared" si="11"/>
        <v>0</v>
      </c>
      <c r="M77" s="533">
        <f>SUM(M49:M53,M55,M58,M60:M64)</f>
        <v>0</v>
      </c>
      <c r="N77" s="533">
        <f>SUM(B77:M77)/12</f>
        <v>0</v>
      </c>
      <c r="O77" s="439"/>
    </row>
    <row r="78" spans="1:15" ht="43.2" x14ac:dyDescent="0.3">
      <c r="A78" s="436" t="str">
        <f>("SAU totale en horticulture - pépinière hors sol lors de la campagne n-1 ("&amp;Surfaces!P173&amp;")")</f>
        <v>SAU totale en horticulture - pépinière hors sol lors de la campagne n-1 (N-1)</v>
      </c>
      <c r="B78" s="534">
        <f t="shared" ref="B78:M78" si="12">B77+B73</f>
        <v>0</v>
      </c>
      <c r="C78" s="534">
        <f t="shared" si="12"/>
        <v>0</v>
      </c>
      <c r="D78" s="534">
        <f t="shared" si="12"/>
        <v>0</v>
      </c>
      <c r="E78" s="534">
        <f t="shared" si="12"/>
        <v>0</v>
      </c>
      <c r="F78" s="534">
        <f t="shared" si="12"/>
        <v>0</v>
      </c>
      <c r="G78" s="534">
        <f t="shared" si="12"/>
        <v>0</v>
      </c>
      <c r="H78" s="534">
        <f t="shared" si="12"/>
        <v>0</v>
      </c>
      <c r="I78" s="534">
        <f t="shared" si="12"/>
        <v>0</v>
      </c>
      <c r="J78" s="534">
        <f t="shared" si="12"/>
        <v>0</v>
      </c>
      <c r="K78" s="534">
        <f t="shared" si="12"/>
        <v>0</v>
      </c>
      <c r="L78" s="534">
        <f t="shared" si="12"/>
        <v>0</v>
      </c>
      <c r="M78" s="534">
        <f t="shared" si="12"/>
        <v>0</v>
      </c>
      <c r="N78" s="534">
        <f>SUM(B78:M78)/12</f>
        <v>0</v>
      </c>
      <c r="O78" s="446" t="s">
        <v>2793</v>
      </c>
    </row>
    <row r="79" spans="1:15" x14ac:dyDescent="0.3">
      <c r="A79" s="438"/>
    </row>
    <row r="80" spans="1:15" x14ac:dyDescent="0.3">
      <c r="A80" s="438"/>
    </row>
    <row r="81" spans="1:15" x14ac:dyDescent="0.3">
      <c r="A81" s="448" t="str">
        <f>("Calcul de l'assolement de la SAU en horticulture - pépinière lors de la campagne n-2 ("&amp;Surfaces!Q173&amp;")")</f>
        <v>Calcul de l'assolement de la SAU en horticulture - pépinière lors de la campagne n-2 (N-2)</v>
      </c>
      <c r="B81" s="449"/>
      <c r="C81" s="449"/>
      <c r="D81" s="449"/>
      <c r="E81" s="449"/>
      <c r="F81" s="449"/>
      <c r="G81" s="449"/>
      <c r="H81" s="449"/>
      <c r="I81" s="450"/>
      <c r="J81" s="449"/>
      <c r="K81" s="449"/>
      <c r="L81" s="449"/>
      <c r="M81" s="449"/>
      <c r="N81" s="449"/>
      <c r="O81" s="449"/>
    </row>
    <row r="82" spans="1:15" x14ac:dyDescent="0.3">
      <c r="A82" s="434" t="str">
        <f>"Saisir la surface cultivée pour chaque plante et la surface non cultivée chaque mois de la campagne "&amp;Surfaces!Q173&amp;" (zone B80 à M104)."</f>
        <v>Saisir la surface cultivée pour chaque plante et la surface non cultivée chaque mois de la campagne N-2 (zone B80 à M104).</v>
      </c>
      <c r="B82" s="404"/>
      <c r="C82" s="404"/>
      <c r="D82" s="404"/>
      <c r="E82" s="404"/>
      <c r="F82" s="404"/>
      <c r="G82" s="404"/>
      <c r="H82" s="404"/>
      <c r="I82" s="404"/>
      <c r="J82" s="404"/>
      <c r="K82" s="404"/>
      <c r="L82" s="404"/>
      <c r="M82" s="404"/>
      <c r="N82" s="404"/>
    </row>
    <row r="83" spans="1:15" x14ac:dyDescent="0.3">
      <c r="B83" s="435"/>
      <c r="C83" s="435"/>
      <c r="D83" s="435"/>
      <c r="E83" s="435"/>
      <c r="F83" s="435"/>
      <c r="G83" s="435"/>
      <c r="H83" s="435"/>
      <c r="I83" s="435"/>
      <c r="J83" s="435"/>
      <c r="K83" s="435"/>
      <c r="L83" s="435"/>
      <c r="M83" s="435"/>
      <c r="N83" s="435"/>
    </row>
    <row r="84" spans="1:15" x14ac:dyDescent="0.3">
      <c r="A84" s="436"/>
      <c r="B84" s="441">
        <v>1</v>
      </c>
      <c r="C84" s="441">
        <v>2</v>
      </c>
      <c r="D84" s="441">
        <v>3</v>
      </c>
      <c r="E84" s="441">
        <v>4</v>
      </c>
      <c r="F84" s="441">
        <v>5</v>
      </c>
      <c r="G84" s="441">
        <v>6</v>
      </c>
      <c r="H84" s="441">
        <v>7</v>
      </c>
      <c r="I84" s="441">
        <v>8</v>
      </c>
      <c r="J84" s="441">
        <v>9</v>
      </c>
      <c r="K84" s="441">
        <v>10</v>
      </c>
      <c r="L84" s="441">
        <v>11</v>
      </c>
      <c r="M84" s="441">
        <v>12</v>
      </c>
      <c r="O84" s="439" t="s">
        <v>2790</v>
      </c>
    </row>
    <row r="85" spans="1:15" x14ac:dyDescent="0.3">
      <c r="A85" s="437" t="s">
        <v>2783</v>
      </c>
      <c r="B85" s="433"/>
      <c r="C85" s="433"/>
      <c r="D85" s="433"/>
      <c r="E85" s="433"/>
      <c r="F85" s="433"/>
      <c r="G85" s="433"/>
      <c r="H85" s="433"/>
      <c r="I85" s="433"/>
      <c r="J85" s="433"/>
      <c r="K85" s="433"/>
      <c r="L85" s="433"/>
      <c r="M85" s="433"/>
      <c r="N85" s="102" t="s">
        <v>2785</v>
      </c>
    </row>
    <row r="86" spans="1:15" x14ac:dyDescent="0.3">
      <c r="A86" s="404" t="s">
        <v>2771</v>
      </c>
      <c r="B86" s="523"/>
      <c r="C86" s="523"/>
      <c r="D86" s="523"/>
      <c r="E86" s="523"/>
      <c r="F86" s="523"/>
      <c r="G86" s="523"/>
      <c r="H86" s="523"/>
      <c r="I86" s="523"/>
      <c r="J86" s="523"/>
      <c r="K86" s="523"/>
      <c r="L86" s="523"/>
      <c r="M86" s="523"/>
      <c r="N86" s="521">
        <f>SUM(B86:M86)/12</f>
        <v>0</v>
      </c>
    </row>
    <row r="87" spans="1:15" x14ac:dyDescent="0.3">
      <c r="A87" s="404" t="s">
        <v>385</v>
      </c>
      <c r="B87" s="523"/>
      <c r="C87" s="523"/>
      <c r="D87" s="523"/>
      <c r="E87" s="523"/>
      <c r="F87" s="523"/>
      <c r="G87" s="523"/>
      <c r="H87" s="523"/>
      <c r="I87" s="523"/>
      <c r="J87" s="523"/>
      <c r="K87" s="523"/>
      <c r="L87" s="523"/>
      <c r="M87" s="523"/>
      <c r="N87" s="521">
        <f t="shared" ref="N87:N93" si="13">SUM(B87:M87)/12</f>
        <v>0</v>
      </c>
    </row>
    <row r="88" spans="1:15" x14ac:dyDescent="0.3">
      <c r="A88" s="404" t="s">
        <v>401</v>
      </c>
      <c r="B88" s="523"/>
      <c r="C88" s="523"/>
      <c r="D88" s="523"/>
      <c r="E88" s="523"/>
      <c r="F88" s="523"/>
      <c r="G88" s="523"/>
      <c r="H88" s="523"/>
      <c r="I88" s="523"/>
      <c r="J88" s="523"/>
      <c r="K88" s="523"/>
      <c r="L88" s="523"/>
      <c r="M88" s="523"/>
      <c r="N88" s="521">
        <f t="shared" si="13"/>
        <v>0</v>
      </c>
    </row>
    <row r="89" spans="1:15" x14ac:dyDescent="0.3">
      <c r="A89" s="404" t="s">
        <v>402</v>
      </c>
      <c r="B89" s="523"/>
      <c r="C89" s="523"/>
      <c r="D89" s="523"/>
      <c r="E89" s="523"/>
      <c r="F89" s="523"/>
      <c r="G89" s="523"/>
      <c r="H89" s="523"/>
      <c r="I89" s="523"/>
      <c r="J89" s="523"/>
      <c r="K89" s="523"/>
      <c r="L89" s="523"/>
      <c r="M89" s="523"/>
      <c r="N89" s="521">
        <f t="shared" si="13"/>
        <v>0</v>
      </c>
    </row>
    <row r="90" spans="1:15" x14ac:dyDescent="0.3">
      <c r="A90" s="404" t="s">
        <v>2770</v>
      </c>
      <c r="B90" s="523"/>
      <c r="C90" s="523"/>
      <c r="D90" s="523"/>
      <c r="E90" s="523"/>
      <c r="F90" s="523"/>
      <c r="G90" s="523"/>
      <c r="H90" s="523"/>
      <c r="I90" s="523"/>
      <c r="J90" s="523"/>
      <c r="K90" s="523"/>
      <c r="L90" s="523"/>
      <c r="M90" s="523"/>
      <c r="N90" s="521">
        <f t="shared" si="13"/>
        <v>0</v>
      </c>
    </row>
    <row r="91" spans="1:15" x14ac:dyDescent="0.3">
      <c r="A91" s="404" t="s">
        <v>2774</v>
      </c>
      <c r="B91" s="523"/>
      <c r="C91" s="523"/>
      <c r="D91" s="523"/>
      <c r="E91" s="523"/>
      <c r="F91" s="523"/>
      <c r="G91" s="523"/>
      <c r="H91" s="523"/>
      <c r="I91" s="523"/>
      <c r="J91" s="523"/>
      <c r="K91" s="523"/>
      <c r="L91" s="523"/>
      <c r="M91" s="523"/>
      <c r="N91" s="521">
        <f t="shared" si="13"/>
        <v>0</v>
      </c>
    </row>
    <row r="92" spans="1:15" x14ac:dyDescent="0.3">
      <c r="A92" s="404" t="s">
        <v>2772</v>
      </c>
      <c r="B92" s="523"/>
      <c r="C92" s="523"/>
      <c r="D92" s="523"/>
      <c r="E92" s="523"/>
      <c r="F92" s="523"/>
      <c r="G92" s="523"/>
      <c r="H92" s="523"/>
      <c r="I92" s="523"/>
      <c r="J92" s="523"/>
      <c r="K92" s="523"/>
      <c r="L92" s="523"/>
      <c r="M92" s="523"/>
      <c r="N92" s="521">
        <f t="shared" si="13"/>
        <v>0</v>
      </c>
    </row>
    <row r="93" spans="1:15" x14ac:dyDescent="0.3">
      <c r="A93" s="404" t="s">
        <v>2773</v>
      </c>
      <c r="B93" s="523"/>
      <c r="C93" s="523"/>
      <c r="D93" s="523"/>
      <c r="E93" s="523"/>
      <c r="F93" s="523"/>
      <c r="G93" s="523"/>
      <c r="H93" s="523"/>
      <c r="I93" s="523"/>
      <c r="J93" s="523"/>
      <c r="K93" s="523"/>
      <c r="L93" s="523"/>
      <c r="M93" s="523"/>
      <c r="N93" s="521">
        <f t="shared" si="13"/>
        <v>0</v>
      </c>
    </row>
    <row r="94" spans="1:15" x14ac:dyDescent="0.3">
      <c r="A94" s="437" t="s">
        <v>2784</v>
      </c>
      <c r="B94" s="531"/>
      <c r="C94" s="531"/>
      <c r="D94" s="531"/>
      <c r="E94" s="531"/>
      <c r="F94" s="531"/>
      <c r="G94" s="531"/>
      <c r="H94" s="531"/>
      <c r="I94" s="531"/>
      <c r="J94" s="531"/>
      <c r="K94" s="531"/>
      <c r="L94" s="531"/>
      <c r="M94" s="531"/>
      <c r="N94" s="532"/>
    </row>
    <row r="95" spans="1:15" x14ac:dyDescent="0.3">
      <c r="A95" s="404" t="s">
        <v>397</v>
      </c>
      <c r="B95" s="523"/>
      <c r="C95" s="523"/>
      <c r="D95" s="523"/>
      <c r="E95" s="523"/>
      <c r="F95" s="523"/>
      <c r="G95" s="523"/>
      <c r="H95" s="523"/>
      <c r="I95" s="523"/>
      <c r="J95" s="523"/>
      <c r="K95" s="523"/>
      <c r="L95" s="523"/>
      <c r="M95" s="523"/>
      <c r="N95" s="521">
        <f>SUM(B95:M95)/12</f>
        <v>0</v>
      </c>
    </row>
    <row r="96" spans="1:15" x14ac:dyDescent="0.3">
      <c r="A96" s="404" t="s">
        <v>398</v>
      </c>
      <c r="B96" s="523"/>
      <c r="C96" s="523"/>
      <c r="D96" s="523"/>
      <c r="E96" s="523"/>
      <c r="F96" s="523"/>
      <c r="G96" s="523"/>
      <c r="H96" s="523"/>
      <c r="I96" s="523"/>
      <c r="J96" s="523"/>
      <c r="K96" s="523"/>
      <c r="L96" s="523"/>
      <c r="M96" s="523"/>
      <c r="N96" s="521">
        <f t="shared" ref="N96:N106" si="14">SUM(B96:M96)/12</f>
        <v>0</v>
      </c>
    </row>
    <row r="97" spans="1:15" x14ac:dyDescent="0.3">
      <c r="A97" s="404" t="s">
        <v>399</v>
      </c>
      <c r="B97" s="523"/>
      <c r="C97" s="523"/>
      <c r="D97" s="523"/>
      <c r="E97" s="523"/>
      <c r="F97" s="523"/>
      <c r="G97" s="523"/>
      <c r="H97" s="523"/>
      <c r="I97" s="523"/>
      <c r="J97" s="523"/>
      <c r="K97" s="523"/>
      <c r="L97" s="523"/>
      <c r="M97" s="523"/>
      <c r="N97" s="521">
        <f t="shared" si="14"/>
        <v>0</v>
      </c>
    </row>
    <row r="98" spans="1:15" x14ac:dyDescent="0.3">
      <c r="A98" s="404" t="s">
        <v>385</v>
      </c>
      <c r="B98" s="523"/>
      <c r="C98" s="523"/>
      <c r="D98" s="523"/>
      <c r="E98" s="523"/>
      <c r="F98" s="523"/>
      <c r="G98" s="523"/>
      <c r="H98" s="523"/>
      <c r="I98" s="523"/>
      <c r="J98" s="523"/>
      <c r="K98" s="523"/>
      <c r="L98" s="523"/>
      <c r="M98" s="523"/>
      <c r="N98" s="521">
        <f t="shared" si="14"/>
        <v>0</v>
      </c>
    </row>
    <row r="99" spans="1:15" x14ac:dyDescent="0.3">
      <c r="A99" s="404" t="s">
        <v>401</v>
      </c>
      <c r="B99" s="523"/>
      <c r="C99" s="523"/>
      <c r="D99" s="523"/>
      <c r="E99" s="523"/>
      <c r="F99" s="523"/>
      <c r="G99" s="523"/>
      <c r="H99" s="523"/>
      <c r="I99" s="523"/>
      <c r="J99" s="523"/>
      <c r="K99" s="523"/>
      <c r="L99" s="523"/>
      <c r="M99" s="523"/>
      <c r="N99" s="521">
        <f t="shared" si="14"/>
        <v>0</v>
      </c>
    </row>
    <row r="100" spans="1:15" x14ac:dyDescent="0.3">
      <c r="A100" s="404" t="s">
        <v>2770</v>
      </c>
      <c r="B100" s="523"/>
      <c r="C100" s="523"/>
      <c r="D100" s="523"/>
      <c r="E100" s="523"/>
      <c r="F100" s="523"/>
      <c r="G100" s="523"/>
      <c r="H100" s="523"/>
      <c r="I100" s="523"/>
      <c r="J100" s="523"/>
      <c r="K100" s="523"/>
      <c r="L100" s="523"/>
      <c r="M100" s="523"/>
      <c r="N100" s="521">
        <f t="shared" si="14"/>
        <v>0</v>
      </c>
    </row>
    <row r="101" spans="1:15" x14ac:dyDescent="0.3">
      <c r="A101" s="404" t="s">
        <v>402</v>
      </c>
      <c r="B101" s="523"/>
      <c r="C101" s="523"/>
      <c r="D101" s="523"/>
      <c r="E101" s="523"/>
      <c r="F101" s="523"/>
      <c r="G101" s="523"/>
      <c r="H101" s="523"/>
      <c r="I101" s="523"/>
      <c r="J101" s="523"/>
      <c r="K101" s="523"/>
      <c r="L101" s="523"/>
      <c r="M101" s="523"/>
      <c r="N101" s="521">
        <f t="shared" si="14"/>
        <v>0</v>
      </c>
    </row>
    <row r="102" spans="1:15" x14ac:dyDescent="0.3">
      <c r="A102" s="404" t="s">
        <v>403</v>
      </c>
      <c r="B102" s="523"/>
      <c r="C102" s="523"/>
      <c r="D102" s="523"/>
      <c r="E102" s="523"/>
      <c r="F102" s="523"/>
      <c r="G102" s="523"/>
      <c r="H102" s="523"/>
      <c r="I102" s="523"/>
      <c r="J102" s="523"/>
      <c r="K102" s="523"/>
      <c r="L102" s="523"/>
      <c r="M102" s="523"/>
      <c r="N102" s="521">
        <f t="shared" si="14"/>
        <v>0</v>
      </c>
    </row>
    <row r="103" spans="1:15" x14ac:dyDescent="0.3">
      <c r="A103" s="404" t="s">
        <v>404</v>
      </c>
      <c r="B103" s="523"/>
      <c r="C103" s="523"/>
      <c r="D103" s="523"/>
      <c r="E103" s="523"/>
      <c r="F103" s="523"/>
      <c r="G103" s="523"/>
      <c r="H103" s="523"/>
      <c r="I103" s="523"/>
      <c r="J103" s="523"/>
      <c r="K103" s="523"/>
      <c r="L103" s="523"/>
      <c r="M103" s="523"/>
      <c r="N103" s="521">
        <f t="shared" si="14"/>
        <v>0</v>
      </c>
    </row>
    <row r="104" spans="1:15" x14ac:dyDescent="0.3">
      <c r="A104" s="404" t="s">
        <v>405</v>
      </c>
      <c r="B104" s="523"/>
      <c r="C104" s="523"/>
      <c r="D104" s="523"/>
      <c r="E104" s="523"/>
      <c r="F104" s="523"/>
      <c r="G104" s="523"/>
      <c r="H104" s="523"/>
      <c r="I104" s="523"/>
      <c r="J104" s="523"/>
      <c r="K104" s="523"/>
      <c r="L104" s="523"/>
      <c r="M104" s="523"/>
      <c r="N104" s="521">
        <f t="shared" si="14"/>
        <v>0</v>
      </c>
    </row>
    <row r="105" spans="1:15" x14ac:dyDescent="0.3">
      <c r="A105" s="404" t="s">
        <v>406</v>
      </c>
      <c r="B105" s="523"/>
      <c r="C105" s="523"/>
      <c r="D105" s="523"/>
      <c r="E105" s="523"/>
      <c r="F105" s="523"/>
      <c r="G105" s="523"/>
      <c r="H105" s="523"/>
      <c r="I105" s="523"/>
      <c r="J105" s="523"/>
      <c r="K105" s="523"/>
      <c r="L105" s="523"/>
      <c r="M105" s="523"/>
      <c r="N105" s="521">
        <f t="shared" si="14"/>
        <v>0</v>
      </c>
    </row>
    <row r="106" spans="1:15" x14ac:dyDescent="0.3">
      <c r="A106" s="404" t="s">
        <v>407</v>
      </c>
      <c r="B106" s="523"/>
      <c r="C106" s="523"/>
      <c r="D106" s="523"/>
      <c r="E106" s="523"/>
      <c r="F106" s="523"/>
      <c r="G106" s="523"/>
      <c r="H106" s="523"/>
      <c r="I106" s="523"/>
      <c r="J106" s="523"/>
      <c r="K106" s="523"/>
      <c r="L106" s="523"/>
      <c r="M106" s="523"/>
      <c r="N106" s="521">
        <f t="shared" si="14"/>
        <v>0</v>
      </c>
    </row>
    <row r="107" spans="1:15" x14ac:dyDescent="0.3">
      <c r="A107" s="404" t="s">
        <v>2775</v>
      </c>
      <c r="B107" s="523"/>
      <c r="C107" s="523"/>
      <c r="D107" s="523"/>
      <c r="E107" s="523"/>
      <c r="F107" s="523"/>
      <c r="G107" s="523"/>
      <c r="H107" s="523"/>
      <c r="I107" s="523"/>
      <c r="J107" s="523"/>
      <c r="K107" s="523"/>
      <c r="L107" s="523"/>
      <c r="M107" s="523"/>
      <c r="N107" s="521">
        <f>SUM(B107:M107)/12</f>
        <v>0</v>
      </c>
    </row>
    <row r="108" spans="1:15" x14ac:dyDescent="0.3">
      <c r="A108" s="437" t="s">
        <v>2789</v>
      </c>
      <c r="B108" s="531"/>
      <c r="C108" s="531"/>
      <c r="D108" s="531"/>
      <c r="E108" s="531"/>
      <c r="F108" s="531"/>
      <c r="G108" s="531"/>
      <c r="H108" s="531"/>
      <c r="I108" s="531"/>
      <c r="J108" s="531"/>
      <c r="K108" s="531"/>
      <c r="L108" s="531"/>
      <c r="M108" s="531"/>
      <c r="N108" s="532"/>
    </row>
    <row r="109" spans="1:15" x14ac:dyDescent="0.3">
      <c r="A109" s="404" t="s">
        <v>2800</v>
      </c>
      <c r="B109" s="523"/>
      <c r="C109" s="523"/>
      <c r="D109" s="523"/>
      <c r="E109" s="523"/>
      <c r="F109" s="523"/>
      <c r="G109" s="523"/>
      <c r="H109" s="523"/>
      <c r="I109" s="523"/>
      <c r="J109" s="523"/>
      <c r="K109" s="523"/>
      <c r="L109" s="523"/>
      <c r="M109" s="523"/>
      <c r="N109" s="521">
        <f>SUM(B109:M109)/12</f>
        <v>0</v>
      </c>
    </row>
    <row r="110" spans="1:15" x14ac:dyDescent="0.3">
      <c r="A110" s="404" t="s">
        <v>2799</v>
      </c>
      <c r="B110" s="523"/>
      <c r="C110" s="523"/>
      <c r="D110" s="523"/>
      <c r="E110" s="523"/>
      <c r="F110" s="523"/>
      <c r="G110" s="523"/>
      <c r="H110" s="523"/>
      <c r="I110" s="523"/>
      <c r="J110" s="523"/>
      <c r="K110" s="523"/>
      <c r="L110" s="523"/>
      <c r="M110" s="523"/>
      <c r="N110" s="521">
        <f>SUM(B110:M110)/12</f>
        <v>0</v>
      </c>
    </row>
    <row r="111" spans="1:15" x14ac:dyDescent="0.3">
      <c r="A111" s="438"/>
      <c r="N111" s="584"/>
      <c r="O111" s="584"/>
    </row>
    <row r="112" spans="1:15" x14ac:dyDescent="0.3">
      <c r="A112" s="442" t="s">
        <v>2781</v>
      </c>
      <c r="B112" s="533">
        <f t="shared" ref="B112:L112" si="15">SUM(B86:B107)</f>
        <v>0</v>
      </c>
      <c r="C112" s="533">
        <f t="shared" si="15"/>
        <v>0</v>
      </c>
      <c r="D112" s="533">
        <f t="shared" si="15"/>
        <v>0</v>
      </c>
      <c r="E112" s="533">
        <f t="shared" si="15"/>
        <v>0</v>
      </c>
      <c r="F112" s="533">
        <f t="shared" si="15"/>
        <v>0</v>
      </c>
      <c r="G112" s="533">
        <f t="shared" si="15"/>
        <v>0</v>
      </c>
      <c r="H112" s="533">
        <f t="shared" si="15"/>
        <v>0</v>
      </c>
      <c r="I112" s="533">
        <f t="shared" si="15"/>
        <v>0</v>
      </c>
      <c r="J112" s="533">
        <f t="shared" si="15"/>
        <v>0</v>
      </c>
      <c r="K112" s="533">
        <f t="shared" si="15"/>
        <v>0</v>
      </c>
      <c r="L112" s="533">
        <f t="shared" si="15"/>
        <v>0</v>
      </c>
      <c r="M112" s="533">
        <f>SUM(M86:M107)</f>
        <v>0</v>
      </c>
      <c r="N112" s="533">
        <f>SUM(B112:M112)/12</f>
        <v>0</v>
      </c>
      <c r="O112" s="447"/>
    </row>
    <row r="113" spans="1:15" ht="43.2" x14ac:dyDescent="0.3">
      <c r="A113" s="436" t="str">
        <f>("SAU totale en horticulture - pépinière lors de la campagne n-2 ("&amp;Surfaces!Q173&amp;")")</f>
        <v>SAU totale en horticulture - pépinière lors de la campagne n-2 (N-2)</v>
      </c>
      <c r="B113" s="534">
        <f t="shared" ref="B113:M113" si="16">B112+B109</f>
        <v>0</v>
      </c>
      <c r="C113" s="534">
        <f t="shared" si="16"/>
        <v>0</v>
      </c>
      <c r="D113" s="534">
        <f t="shared" si="16"/>
        <v>0</v>
      </c>
      <c r="E113" s="534">
        <f t="shared" si="16"/>
        <v>0</v>
      </c>
      <c r="F113" s="534">
        <f t="shared" si="16"/>
        <v>0</v>
      </c>
      <c r="G113" s="534">
        <f t="shared" si="16"/>
        <v>0</v>
      </c>
      <c r="H113" s="534">
        <f t="shared" si="16"/>
        <v>0</v>
      </c>
      <c r="I113" s="534">
        <f t="shared" si="16"/>
        <v>0</v>
      </c>
      <c r="J113" s="534">
        <f t="shared" si="16"/>
        <v>0</v>
      </c>
      <c r="K113" s="534">
        <f t="shared" si="16"/>
        <v>0</v>
      </c>
      <c r="L113" s="534">
        <f t="shared" si="16"/>
        <v>0</v>
      </c>
      <c r="M113" s="534">
        <f t="shared" si="16"/>
        <v>0</v>
      </c>
      <c r="N113" s="534">
        <f>SUM(B113:M113)/12</f>
        <v>0</v>
      </c>
      <c r="O113" s="446" t="s">
        <v>2792</v>
      </c>
    </row>
    <row r="114" spans="1:15" ht="28.8" x14ac:dyDescent="0.3">
      <c r="A114" s="443" t="s">
        <v>2782</v>
      </c>
      <c r="B114" s="533">
        <f t="shared" ref="B114:L114" si="17">SUM(B86:B90,B92,B95,B97:B101)</f>
        <v>0</v>
      </c>
      <c r="C114" s="533">
        <f t="shared" si="17"/>
        <v>0</v>
      </c>
      <c r="D114" s="533">
        <f t="shared" si="17"/>
        <v>0</v>
      </c>
      <c r="E114" s="533">
        <f t="shared" si="17"/>
        <v>0</v>
      </c>
      <c r="F114" s="533">
        <f t="shared" si="17"/>
        <v>0</v>
      </c>
      <c r="G114" s="533">
        <f t="shared" si="17"/>
        <v>0</v>
      </c>
      <c r="H114" s="533">
        <f t="shared" si="17"/>
        <v>0</v>
      </c>
      <c r="I114" s="533">
        <f t="shared" si="17"/>
        <v>0</v>
      </c>
      <c r="J114" s="533">
        <f t="shared" si="17"/>
        <v>0</v>
      </c>
      <c r="K114" s="533">
        <f t="shared" si="17"/>
        <v>0</v>
      </c>
      <c r="L114" s="533">
        <f t="shared" si="17"/>
        <v>0</v>
      </c>
      <c r="M114" s="533">
        <f>SUM(M86:M90,M92,M95,M97:M101)</f>
        <v>0</v>
      </c>
      <c r="N114" s="533">
        <f>SUM(B114:M114)/12</f>
        <v>0</v>
      </c>
      <c r="O114" s="439"/>
    </row>
    <row r="115" spans="1:15" ht="43.2" x14ac:dyDescent="0.3">
      <c r="A115" s="436" t="str">
        <f>("SAU totale en horticulture - pépinière hors sol lors de la campagne n-2 ("&amp;Surfaces!Q173&amp;")")</f>
        <v>SAU totale en horticulture - pépinière hors sol lors de la campagne n-2 (N-2)</v>
      </c>
      <c r="B115" s="534">
        <f t="shared" ref="B115:M115" si="18">B114+B110</f>
        <v>0</v>
      </c>
      <c r="C115" s="534">
        <f t="shared" si="18"/>
        <v>0</v>
      </c>
      <c r="D115" s="534">
        <f t="shared" si="18"/>
        <v>0</v>
      </c>
      <c r="E115" s="534">
        <f t="shared" si="18"/>
        <v>0</v>
      </c>
      <c r="F115" s="534">
        <f t="shared" si="18"/>
        <v>0</v>
      </c>
      <c r="G115" s="534">
        <f t="shared" si="18"/>
        <v>0</v>
      </c>
      <c r="H115" s="534">
        <f t="shared" si="18"/>
        <v>0</v>
      </c>
      <c r="I115" s="534">
        <f t="shared" si="18"/>
        <v>0</v>
      </c>
      <c r="J115" s="534">
        <f t="shared" si="18"/>
        <v>0</v>
      </c>
      <c r="K115" s="534">
        <f t="shared" si="18"/>
        <v>0</v>
      </c>
      <c r="L115" s="534">
        <f t="shared" si="18"/>
        <v>0</v>
      </c>
      <c r="M115" s="534">
        <f t="shared" si="18"/>
        <v>0</v>
      </c>
      <c r="N115" s="534">
        <f>SUM(B115:M115)/12</f>
        <v>0</v>
      </c>
      <c r="O115" s="446" t="s">
        <v>2793</v>
      </c>
    </row>
    <row r="116" spans="1:15" x14ac:dyDescent="0.3">
      <c r="A116" s="438"/>
    </row>
    <row r="117" spans="1:15" x14ac:dyDescent="0.3">
      <c r="A117" s="438"/>
    </row>
    <row r="118" spans="1:15" x14ac:dyDescent="0.3">
      <c r="A118" s="438"/>
    </row>
    <row r="119" spans="1:15" x14ac:dyDescent="0.3">
      <c r="A119" s="438"/>
    </row>
    <row r="120" spans="1:15" x14ac:dyDescent="0.3">
      <c r="A120" s="438"/>
    </row>
    <row r="121" spans="1:15" x14ac:dyDescent="0.3">
      <c r="A121" s="438"/>
    </row>
    <row r="122" spans="1:15" x14ac:dyDescent="0.3">
      <c r="A122" s="438"/>
    </row>
    <row r="123" spans="1:15" x14ac:dyDescent="0.3">
      <c r="A123" s="438"/>
    </row>
    <row r="124" spans="1:15" x14ac:dyDescent="0.3">
      <c r="A124" s="438"/>
    </row>
    <row r="125" spans="1:15" x14ac:dyDescent="0.3">
      <c r="A125" s="438"/>
    </row>
    <row r="126" spans="1:15" x14ac:dyDescent="0.3">
      <c r="A126" s="438"/>
    </row>
    <row r="127" spans="1:15" x14ac:dyDescent="0.3">
      <c r="A127" s="438"/>
    </row>
    <row r="128" spans="1:15" x14ac:dyDescent="0.3">
      <c r="A128" s="438"/>
    </row>
    <row r="129" spans="1:1" x14ac:dyDescent="0.3">
      <c r="A129" s="438"/>
    </row>
    <row r="130" spans="1:1" x14ac:dyDescent="0.3">
      <c r="A130" s="438"/>
    </row>
    <row r="131" spans="1:1" x14ac:dyDescent="0.3">
      <c r="A131" s="438"/>
    </row>
    <row r="132" spans="1:1" x14ac:dyDescent="0.3">
      <c r="A132" s="438"/>
    </row>
    <row r="133" spans="1:1" x14ac:dyDescent="0.3">
      <c r="A133" s="438"/>
    </row>
    <row r="134" spans="1:1" x14ac:dyDescent="0.3">
      <c r="A134" s="438"/>
    </row>
    <row r="135" spans="1:1" x14ac:dyDescent="0.3">
      <c r="A135" s="438"/>
    </row>
    <row r="136" spans="1:1" x14ac:dyDescent="0.3">
      <c r="A136" s="438"/>
    </row>
    <row r="137" spans="1:1" x14ac:dyDescent="0.3">
      <c r="A137" s="438"/>
    </row>
    <row r="138" spans="1:1" x14ac:dyDescent="0.3">
      <c r="A138" s="438"/>
    </row>
    <row r="139" spans="1:1" x14ac:dyDescent="0.3">
      <c r="A139" s="438"/>
    </row>
    <row r="140" spans="1:1" x14ac:dyDescent="0.3">
      <c r="A140" s="438"/>
    </row>
    <row r="141" spans="1:1" x14ac:dyDescent="0.3">
      <c r="A141" s="438"/>
    </row>
    <row r="142" spans="1:1" x14ac:dyDescent="0.3">
      <c r="A142" s="438"/>
    </row>
    <row r="143" spans="1:1" x14ac:dyDescent="0.3">
      <c r="A143" s="438"/>
    </row>
    <row r="144" spans="1:1" x14ac:dyDescent="0.3">
      <c r="A144" s="438"/>
    </row>
    <row r="145" spans="1:1" x14ac:dyDescent="0.3">
      <c r="A145" s="438"/>
    </row>
    <row r="146" spans="1:1" x14ac:dyDescent="0.3">
      <c r="A146" s="438"/>
    </row>
    <row r="147" spans="1:1" x14ac:dyDescent="0.3">
      <c r="A147" s="438"/>
    </row>
    <row r="148" spans="1:1" x14ac:dyDescent="0.3">
      <c r="A148" s="438"/>
    </row>
    <row r="149" spans="1:1" x14ac:dyDescent="0.3">
      <c r="A149" s="438"/>
    </row>
    <row r="150" spans="1:1" x14ac:dyDescent="0.3">
      <c r="A150" s="438"/>
    </row>
    <row r="151" spans="1:1" x14ac:dyDescent="0.3">
      <c r="A151" s="438"/>
    </row>
    <row r="152" spans="1:1" x14ac:dyDescent="0.3">
      <c r="A152" s="438"/>
    </row>
    <row r="153" spans="1:1" x14ac:dyDescent="0.3">
      <c r="A153" s="438"/>
    </row>
    <row r="154" spans="1:1" x14ac:dyDescent="0.3">
      <c r="A154" s="438"/>
    </row>
    <row r="155" spans="1:1" x14ac:dyDescent="0.3">
      <c r="A155" s="438"/>
    </row>
    <row r="156" spans="1:1" x14ac:dyDescent="0.3">
      <c r="A156" s="438"/>
    </row>
    <row r="157" spans="1:1" x14ac:dyDescent="0.3">
      <c r="A157" s="438"/>
    </row>
    <row r="158" spans="1:1" x14ac:dyDescent="0.3">
      <c r="A158" s="438"/>
    </row>
    <row r="159" spans="1:1" x14ac:dyDescent="0.3">
      <c r="A159" s="438"/>
    </row>
    <row r="160" spans="1:1" x14ac:dyDescent="0.3">
      <c r="A160" s="438"/>
    </row>
    <row r="161" spans="1:1" x14ac:dyDescent="0.3">
      <c r="A161" s="438"/>
    </row>
    <row r="162" spans="1:1" x14ac:dyDescent="0.3">
      <c r="A162" s="438"/>
    </row>
    <row r="163" spans="1:1" x14ac:dyDescent="0.3">
      <c r="A163" s="438"/>
    </row>
    <row r="164" spans="1:1" x14ac:dyDescent="0.3">
      <c r="A164" s="438"/>
    </row>
    <row r="165" spans="1:1" x14ac:dyDescent="0.3">
      <c r="A165" s="438"/>
    </row>
    <row r="166" spans="1:1" x14ac:dyDescent="0.3">
      <c r="A166" s="438"/>
    </row>
    <row r="167" spans="1:1" x14ac:dyDescent="0.3">
      <c r="A167" s="438"/>
    </row>
    <row r="168" spans="1:1" x14ac:dyDescent="0.3">
      <c r="A168" s="438"/>
    </row>
    <row r="169" spans="1:1" x14ac:dyDescent="0.3">
      <c r="A169" s="438"/>
    </row>
    <row r="170" spans="1:1" x14ac:dyDescent="0.3">
      <c r="A170" s="438"/>
    </row>
    <row r="171" spans="1:1" x14ac:dyDescent="0.3">
      <c r="A171" s="438"/>
    </row>
    <row r="172" spans="1:1" x14ac:dyDescent="0.3">
      <c r="A172" s="438"/>
    </row>
    <row r="173" spans="1:1" x14ac:dyDescent="0.3">
      <c r="A173" s="438"/>
    </row>
    <row r="174" spans="1:1" x14ac:dyDescent="0.3">
      <c r="A174" s="438"/>
    </row>
    <row r="175" spans="1:1" x14ac:dyDescent="0.3">
      <c r="A175" s="438"/>
    </row>
    <row r="176" spans="1:1" x14ac:dyDescent="0.3">
      <c r="A176" s="438"/>
    </row>
    <row r="177" spans="1:1" x14ac:dyDescent="0.3">
      <c r="A177" s="438"/>
    </row>
    <row r="178" spans="1:1" x14ac:dyDescent="0.3">
      <c r="A178" s="438"/>
    </row>
    <row r="179" spans="1:1" x14ac:dyDescent="0.3">
      <c r="A179" s="438"/>
    </row>
    <row r="180" spans="1:1" x14ac:dyDescent="0.3">
      <c r="A180" s="438"/>
    </row>
    <row r="181" spans="1:1" x14ac:dyDescent="0.3">
      <c r="A181" s="438"/>
    </row>
    <row r="182" spans="1:1" x14ac:dyDescent="0.3">
      <c r="A182" s="438"/>
    </row>
    <row r="183" spans="1:1" x14ac:dyDescent="0.3">
      <c r="A183" s="438"/>
    </row>
    <row r="184" spans="1:1" x14ac:dyDescent="0.3">
      <c r="A184" s="438"/>
    </row>
    <row r="185" spans="1:1" x14ac:dyDescent="0.3">
      <c r="A185" s="438"/>
    </row>
    <row r="186" spans="1:1" x14ac:dyDescent="0.3">
      <c r="A186" s="438"/>
    </row>
    <row r="187" spans="1:1" x14ac:dyDescent="0.3">
      <c r="A187" s="438"/>
    </row>
    <row r="188" spans="1:1" x14ac:dyDescent="0.3">
      <c r="A188" s="438"/>
    </row>
    <row r="189" spans="1:1" x14ac:dyDescent="0.3">
      <c r="A189" s="438"/>
    </row>
    <row r="190" spans="1:1" x14ac:dyDescent="0.3">
      <c r="A190" s="438"/>
    </row>
    <row r="191" spans="1:1" x14ac:dyDescent="0.3">
      <c r="A191" s="438"/>
    </row>
    <row r="192" spans="1:1" x14ac:dyDescent="0.3">
      <c r="A192" s="438"/>
    </row>
    <row r="193" spans="1:1" x14ac:dyDescent="0.3">
      <c r="A193" s="438"/>
    </row>
    <row r="194" spans="1:1" x14ac:dyDescent="0.3">
      <c r="A194" s="438"/>
    </row>
    <row r="195" spans="1:1" x14ac:dyDescent="0.3">
      <c r="A195" s="438"/>
    </row>
    <row r="196" spans="1:1" x14ac:dyDescent="0.3">
      <c r="A196" s="438"/>
    </row>
    <row r="197" spans="1:1" x14ac:dyDescent="0.3">
      <c r="A197" s="438"/>
    </row>
    <row r="198" spans="1:1" x14ac:dyDescent="0.3">
      <c r="A198" s="438"/>
    </row>
    <row r="199" spans="1:1" x14ac:dyDescent="0.3">
      <c r="A199" s="438"/>
    </row>
    <row r="200" spans="1:1" x14ac:dyDescent="0.3">
      <c r="A200" s="438"/>
    </row>
    <row r="201" spans="1:1" x14ac:dyDescent="0.3">
      <c r="A201" s="438"/>
    </row>
    <row r="202" spans="1:1" x14ac:dyDescent="0.3">
      <c r="A202" s="438"/>
    </row>
    <row r="203" spans="1:1" x14ac:dyDescent="0.3">
      <c r="A203" s="438"/>
    </row>
    <row r="204" spans="1:1" x14ac:dyDescent="0.3">
      <c r="A204" s="438"/>
    </row>
    <row r="205" spans="1:1" x14ac:dyDescent="0.3">
      <c r="A205" s="438"/>
    </row>
    <row r="206" spans="1:1" x14ac:dyDescent="0.3">
      <c r="A206" s="438"/>
    </row>
    <row r="207" spans="1:1" x14ac:dyDescent="0.3">
      <c r="A207" s="438"/>
    </row>
    <row r="208" spans="1:1" x14ac:dyDescent="0.3">
      <c r="A208" s="438"/>
    </row>
    <row r="209" spans="1:1" x14ac:dyDescent="0.3">
      <c r="A209" s="438"/>
    </row>
    <row r="210" spans="1:1" x14ac:dyDescent="0.3">
      <c r="A210" s="438"/>
    </row>
    <row r="211" spans="1:1" x14ac:dyDescent="0.3">
      <c r="A211" s="438"/>
    </row>
    <row r="212" spans="1:1" x14ac:dyDescent="0.3">
      <c r="A212" s="438"/>
    </row>
    <row r="213" spans="1:1" x14ac:dyDescent="0.3">
      <c r="A213" s="438"/>
    </row>
    <row r="214" spans="1:1" x14ac:dyDescent="0.3">
      <c r="A214" s="438"/>
    </row>
  </sheetData>
  <sheetProtection algorithmName="SHA-512" hashValue="pcYtZWIavlqFz30PcWReEW3nHpjz6yWXYZQKiPKjqozUcNFF5GRY0e0VDnbMubEhn+cU/EqzICAlC8/EaM1gQg==" saltValue="WqVPAomnLF9jEm2I/mDBuQ==" spinCount="100000" sheet="1" scenarios="1"/>
  <mergeCells count="4">
    <mergeCell ref="N37:O37"/>
    <mergeCell ref="N74:O74"/>
    <mergeCell ref="N111:O111"/>
    <mergeCell ref="N1:O1"/>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0070C0"/>
    <pageSetUpPr fitToPage="1"/>
  </sheetPr>
  <dimension ref="A1:AG278"/>
  <sheetViews>
    <sheetView showGridLines="0" zoomScaleNormal="100" workbookViewId="0">
      <pane ySplit="5" topLeftCell="A6" activePane="bottomLeft" state="frozen"/>
      <selection activeCell="AA19" sqref="AA19"/>
      <selection pane="bottomLeft" activeCell="P25" sqref="P25:Q25"/>
    </sheetView>
  </sheetViews>
  <sheetFormatPr baseColWidth="10" defaultColWidth="9.109375" defaultRowHeight="14.4" x14ac:dyDescent="0.3"/>
  <cols>
    <col min="22" max="22" width="2.109375" customWidth="1"/>
    <col min="26" max="26" width="10" customWidth="1"/>
    <col min="28" max="28" width="10.5546875" customWidth="1"/>
    <col min="29" max="29" width="0" hidden="1" customWidth="1"/>
    <col min="30" max="32" width="9.109375" hidden="1" customWidth="1"/>
    <col min="33" max="33" width="27" hidden="1" customWidth="1"/>
    <col min="34" max="42" width="0" hidden="1" customWidth="1"/>
  </cols>
  <sheetData>
    <row r="1" spans="1:32" x14ac:dyDescent="0.3">
      <c r="A1" s="26"/>
      <c r="B1" s="26"/>
      <c r="C1" s="26"/>
      <c r="D1" s="26"/>
      <c r="E1" s="26"/>
      <c r="F1" s="26"/>
      <c r="G1" s="26"/>
      <c r="H1" s="26"/>
      <c r="I1" s="26"/>
      <c r="J1" s="26"/>
      <c r="K1" s="72"/>
      <c r="L1" s="72"/>
      <c r="M1" s="72"/>
      <c r="N1" s="72"/>
      <c r="O1" s="26"/>
      <c r="P1" s="26"/>
      <c r="Q1" s="26"/>
      <c r="R1" s="26"/>
      <c r="S1" s="26"/>
      <c r="T1" s="26"/>
      <c r="U1" s="74" t="s">
        <v>701</v>
      </c>
      <c r="V1" s="26"/>
      <c r="W1" s="26"/>
      <c r="X1" s="26"/>
      <c r="Y1" s="26"/>
      <c r="Z1" s="26"/>
      <c r="AA1" s="26"/>
      <c r="AB1" s="26"/>
    </row>
    <row r="2" spans="1:32" x14ac:dyDescent="0.3">
      <c r="A2" s="26"/>
      <c r="B2" s="26"/>
      <c r="C2" s="26"/>
      <c r="D2" s="26"/>
      <c r="E2" s="26"/>
      <c r="F2" s="26"/>
      <c r="G2" s="26"/>
      <c r="H2" s="26"/>
      <c r="I2" s="26"/>
      <c r="J2" s="26"/>
      <c r="K2" s="72"/>
      <c r="L2" s="72"/>
      <c r="M2" s="72"/>
      <c r="N2" s="72"/>
      <c r="O2" s="26"/>
      <c r="P2" s="26"/>
      <c r="Q2" s="26"/>
      <c r="R2" s="26"/>
      <c r="S2" s="26"/>
      <c r="T2" s="26"/>
      <c r="U2" s="74" t="s">
        <v>700</v>
      </c>
      <c r="V2" s="26"/>
      <c r="W2" s="26"/>
      <c r="X2" s="26"/>
      <c r="Y2" s="26"/>
      <c r="Z2" s="26"/>
      <c r="AA2" s="26"/>
      <c r="AB2" s="26"/>
    </row>
    <row r="3" spans="1:32" x14ac:dyDescent="0.3">
      <c r="A3" s="26"/>
      <c r="B3" s="26"/>
      <c r="C3" s="26"/>
      <c r="D3" s="26"/>
      <c r="E3" s="26"/>
      <c r="F3" s="26"/>
      <c r="G3" s="26"/>
      <c r="H3" s="26"/>
      <c r="I3" s="26"/>
      <c r="J3" s="26"/>
      <c r="K3" s="72"/>
      <c r="L3" s="72"/>
      <c r="M3" s="72"/>
      <c r="N3" s="72"/>
      <c r="O3" s="26"/>
      <c r="P3" s="26"/>
      <c r="Q3" s="26"/>
      <c r="R3" s="26"/>
      <c r="S3" s="26"/>
      <c r="T3" s="26"/>
      <c r="U3" s="73" t="s">
        <v>568</v>
      </c>
      <c r="V3" s="26"/>
      <c r="W3" s="26"/>
      <c r="X3" s="26"/>
      <c r="Y3" s="26"/>
      <c r="Z3" s="26"/>
      <c r="AA3" s="26"/>
      <c r="AB3" s="26"/>
    </row>
    <row r="4" spans="1:32" x14ac:dyDescent="0.3">
      <c r="A4" s="26"/>
      <c r="B4" s="26"/>
      <c r="C4" s="26"/>
      <c r="D4" s="26"/>
      <c r="E4" s="26"/>
      <c r="F4" s="26"/>
      <c r="G4" s="26"/>
      <c r="H4" s="26"/>
      <c r="I4" s="26"/>
      <c r="J4" s="26"/>
      <c r="K4" s="26"/>
      <c r="L4" s="26"/>
      <c r="M4" s="26"/>
      <c r="N4" s="26"/>
      <c r="O4" s="26"/>
      <c r="P4" s="26"/>
      <c r="Q4" s="26"/>
      <c r="R4" s="26"/>
      <c r="S4" s="26"/>
      <c r="T4" s="26"/>
      <c r="U4" s="26"/>
      <c r="V4" s="26"/>
      <c r="W4" s="26"/>
      <c r="X4" s="26"/>
      <c r="Y4" s="26"/>
      <c r="Z4" s="26"/>
      <c r="AA4" s="661" t="str">
        <f>Accueil!I6</f>
        <v>Version 1.15</v>
      </c>
      <c r="AB4" s="661"/>
    </row>
    <row r="5" spans="1:32" x14ac:dyDescent="0.3">
      <c r="A5" s="26"/>
      <c r="B5" s="26"/>
      <c r="C5" s="26"/>
      <c r="D5" s="26"/>
      <c r="E5" s="26"/>
      <c r="F5" s="26"/>
      <c r="G5" s="26"/>
      <c r="H5" s="26"/>
      <c r="I5" s="26"/>
      <c r="J5" s="26"/>
      <c r="K5" s="26"/>
      <c r="L5" s="26"/>
      <c r="M5" s="26"/>
      <c r="N5" s="26"/>
      <c r="O5" s="26"/>
      <c r="P5" s="26"/>
      <c r="Q5" s="26"/>
      <c r="R5" s="26"/>
      <c r="S5" s="26"/>
      <c r="T5" s="26"/>
      <c r="U5" s="26"/>
      <c r="V5" s="26"/>
      <c r="W5" s="26"/>
      <c r="X5" s="26"/>
      <c r="Y5" s="26"/>
      <c r="Z5" s="26"/>
      <c r="AA5" s="26"/>
      <c r="AB5" s="26"/>
    </row>
    <row r="7" spans="1:32" ht="15" thickBot="1" x14ac:dyDescent="0.35"/>
    <row r="8" spans="1:32" x14ac:dyDescent="0.3">
      <c r="B8" s="16"/>
      <c r="C8" s="17"/>
      <c r="D8" s="17"/>
      <c r="E8" s="17"/>
      <c r="F8" s="17"/>
      <c r="G8" s="17"/>
      <c r="H8" s="17"/>
      <c r="I8" s="17"/>
      <c r="J8" s="17"/>
      <c r="K8" s="17"/>
      <c r="L8" s="17"/>
      <c r="M8" s="17"/>
      <c r="N8" s="17"/>
      <c r="O8" s="17"/>
      <c r="P8" s="17"/>
      <c r="Q8" s="17"/>
      <c r="R8" s="17"/>
      <c r="S8" s="17"/>
      <c r="T8" s="17"/>
      <c r="U8" s="17"/>
      <c r="V8" s="17"/>
      <c r="W8" s="17"/>
      <c r="X8" s="17"/>
      <c r="Y8" s="17"/>
      <c r="Z8" s="17"/>
      <c r="AA8" s="18"/>
      <c r="AD8" t="s">
        <v>244</v>
      </c>
    </row>
    <row r="9" spans="1:32" x14ac:dyDescent="0.3">
      <c r="B9" s="19"/>
      <c r="AA9" s="20"/>
    </row>
    <row r="10" spans="1:32" x14ac:dyDescent="0.3">
      <c r="B10" s="19"/>
      <c r="C10" s="65" t="s">
        <v>2369</v>
      </c>
      <c r="P10" s="41"/>
      <c r="Q10" s="41"/>
      <c r="R10" s="41"/>
      <c r="S10" s="41"/>
      <c r="T10" s="41"/>
      <c r="U10" s="41"/>
      <c r="W10" s="41"/>
      <c r="X10" s="41"/>
      <c r="Y10" s="41"/>
      <c r="Z10" s="41"/>
      <c r="AA10" s="20"/>
    </row>
    <row r="11" spans="1:32" x14ac:dyDescent="0.3">
      <c r="B11" s="19"/>
      <c r="P11" s="41"/>
      <c r="Q11" s="41"/>
      <c r="R11" s="41"/>
      <c r="S11" s="41"/>
      <c r="T11" s="41"/>
      <c r="U11" s="41"/>
      <c r="W11" s="41"/>
      <c r="X11" s="41"/>
      <c r="Y11" s="41"/>
      <c r="Z11" s="41"/>
      <c r="AA11" s="20"/>
    </row>
    <row r="12" spans="1:32" x14ac:dyDescent="0.3">
      <c r="B12" s="19"/>
      <c r="P12" s="595" t="s">
        <v>2285</v>
      </c>
      <c r="Q12" s="595"/>
      <c r="R12" s="595"/>
      <c r="S12" s="595"/>
      <c r="T12" s="595"/>
      <c r="U12" s="595"/>
      <c r="W12" s="595" t="s">
        <v>2370</v>
      </c>
      <c r="X12" s="595"/>
      <c r="Y12" s="595"/>
      <c r="Z12" s="595"/>
      <c r="AA12" s="20"/>
    </row>
    <row r="13" spans="1:32" x14ac:dyDescent="0.3">
      <c r="B13" s="19"/>
      <c r="P13" s="595" t="s">
        <v>2286</v>
      </c>
      <c r="Q13" s="595"/>
      <c r="R13" s="595"/>
      <c r="S13" s="595"/>
      <c r="T13" s="712" t="s">
        <v>203</v>
      </c>
      <c r="U13" s="712"/>
      <c r="W13" s="595"/>
      <c r="X13" s="595"/>
      <c r="Y13" s="595"/>
      <c r="Z13" s="595"/>
      <c r="AA13" s="300"/>
    </row>
    <row r="14" spans="1:32" ht="15" customHeight="1" x14ac:dyDescent="0.3">
      <c r="B14" s="19"/>
      <c r="P14" s="708" t="s">
        <v>2288</v>
      </c>
      <c r="Q14" s="708"/>
      <c r="R14" s="710" t="s">
        <v>2287</v>
      </c>
      <c r="S14" s="710"/>
      <c r="T14" s="712"/>
      <c r="U14" s="712"/>
      <c r="W14" s="708" t="s">
        <v>2288</v>
      </c>
      <c r="X14" s="708"/>
      <c r="Y14" s="710" t="s">
        <v>2287</v>
      </c>
      <c r="Z14" s="710"/>
      <c r="AA14" s="20"/>
      <c r="AF14" s="36" t="s">
        <v>239</v>
      </c>
    </row>
    <row r="15" spans="1:32" x14ac:dyDescent="0.3">
      <c r="B15" s="19"/>
      <c r="P15" s="708"/>
      <c r="Q15" s="708"/>
      <c r="R15" s="710"/>
      <c r="S15" s="710"/>
      <c r="T15" s="712"/>
      <c r="U15" s="712"/>
      <c r="W15" s="708"/>
      <c r="X15" s="708"/>
      <c r="Y15" s="710"/>
      <c r="Z15" s="710"/>
      <c r="AA15" s="20"/>
      <c r="AF15" s="36"/>
    </row>
    <row r="16" spans="1:32" x14ac:dyDescent="0.3">
      <c r="B16" s="19"/>
      <c r="P16" s="709"/>
      <c r="Q16" s="709"/>
      <c r="R16" s="711"/>
      <c r="S16" s="711"/>
      <c r="T16" s="713"/>
      <c r="U16" s="713"/>
      <c r="W16" s="709"/>
      <c r="X16" s="709"/>
      <c r="Y16" s="711"/>
      <c r="Z16" s="711"/>
      <c r="AA16" s="20"/>
      <c r="AF16" s="36"/>
    </row>
    <row r="17" spans="2:32" ht="15" customHeight="1" x14ac:dyDescent="0.3">
      <c r="B17" s="19"/>
      <c r="C17" s="741" t="s">
        <v>205</v>
      </c>
      <c r="D17" s="741"/>
      <c r="E17" s="741"/>
      <c r="F17" s="741"/>
      <c r="G17" s="741"/>
      <c r="H17" s="741"/>
      <c r="I17" s="741"/>
      <c r="J17" s="741"/>
      <c r="K17" s="741"/>
      <c r="L17" s="741"/>
      <c r="M17" s="741"/>
      <c r="N17" s="741"/>
      <c r="O17" s="742"/>
      <c r="P17" s="718"/>
      <c r="Q17" s="719"/>
      <c r="R17" s="718"/>
      <c r="S17" s="719"/>
      <c r="T17" s="720" t="str">
        <f>IFERROR(INDEX(Paramètres!$E$5:$E$25,MATCH(Biodiversité!AF17,Paramètres!$G$5:$G$25,0)),"Unité non retrouvée")</f>
        <v>m linéaire</v>
      </c>
      <c r="U17" s="721"/>
      <c r="W17" s="731">
        <f>IFERROR(IF(OR(T17="m linéaire",T17="arbre"),(P17*INDEX(Paramètres!$F$5:$F$25,MATCH(Biodiversité!AF17,Paramètres!$G$5:$G$25,0))) / 10000,P17*INDEX(Paramètres!$F$5:$F$25,MATCH(Biodiversité!AF17,Paramètres!$G$5:$G$25,0))),0)</f>
        <v>0</v>
      </c>
      <c r="X17" s="732"/>
      <c r="Y17" s="722">
        <f>IFERROR(IF(OR(T17="m linéaire",T17="arbre"),(R17*INDEX(Paramètres!$F$5:$F$25,MATCH(Biodiversité!AF17,Paramètres!$G$5:$G$25,0))) / 10000, R17*INDEX(Paramètres!$F$5:$F$25,MATCH(Biodiversité!AF17,Paramètres!$G$5:$G$25,0))),0)</f>
        <v>0</v>
      </c>
      <c r="Z17" s="723"/>
      <c r="AA17" s="20"/>
      <c r="AD17">
        <f>IF(R17&gt;0,INDEX(Paramètres!$H$5:$H$23,MATCH(AF17,Paramètres!$G$5:$G$23,0)),0)</f>
        <v>0</v>
      </c>
      <c r="AF17" s="36">
        <v>1</v>
      </c>
    </row>
    <row r="18" spans="2:32" ht="15" customHeight="1" x14ac:dyDescent="0.3">
      <c r="B18" s="19"/>
      <c r="C18" s="714" t="s">
        <v>208</v>
      </c>
      <c r="D18" s="714"/>
      <c r="E18" s="714"/>
      <c r="F18" s="714"/>
      <c r="G18" s="714"/>
      <c r="H18" s="714"/>
      <c r="I18" s="714"/>
      <c r="J18" s="714"/>
      <c r="K18" s="714"/>
      <c r="L18" s="714"/>
      <c r="M18" s="714"/>
      <c r="N18" s="714"/>
      <c r="O18" s="715"/>
      <c r="P18" s="718"/>
      <c r="Q18" s="719"/>
      <c r="R18" s="718"/>
      <c r="S18" s="719"/>
      <c r="T18" s="720" t="str">
        <f>IFERROR(INDEX(Paramètres!$E$5:$E$25,MATCH(Biodiversité!AF18,Paramètres!$G$5:$G$25,0)),"Unité non retrouvée")</f>
        <v>m linéaire</v>
      </c>
      <c r="U18" s="721"/>
      <c r="W18" s="731">
        <f>IFERROR(IF(OR(T18="m linéaire",T18="arbre"),(P18*INDEX(Paramètres!$F$5:$F$25,MATCH(Biodiversité!AF18,Paramètres!$G$5:$G$25,0))) / 10000,P18*INDEX(Paramètres!$F$5:$F$25,MATCH(Biodiversité!AF18,Paramètres!$G$5:$G$25,0))),0)</f>
        <v>0</v>
      </c>
      <c r="X18" s="732"/>
      <c r="Y18" s="722">
        <f>IFERROR(IF(OR(T18="m linéaire",T18="arbre"),(R18*INDEX(Paramètres!$F$5:$F$25,MATCH(Biodiversité!AF18,Paramètres!$G$5:$G$25,0))) / 10000, R18*INDEX(Paramètres!$F$5:$F$25,MATCH(Biodiversité!AF18,Paramètres!$G$5:$G$25,0))),0)</f>
        <v>0</v>
      </c>
      <c r="Z18" s="723"/>
      <c r="AA18" s="20"/>
      <c r="AD18">
        <f>IF(R18&gt;0,INDEX(Paramètres!$H$5:$H$23,MATCH(AF18,Paramètres!$G$5:$G$23,0)),0)</f>
        <v>0</v>
      </c>
      <c r="AF18" s="36">
        <v>2</v>
      </c>
    </row>
    <row r="19" spans="2:32" ht="15" customHeight="1" x14ac:dyDescent="0.3">
      <c r="B19" s="19"/>
      <c r="C19" s="714" t="s">
        <v>209</v>
      </c>
      <c r="D19" s="714"/>
      <c r="E19" s="714"/>
      <c r="F19" s="714"/>
      <c r="G19" s="714"/>
      <c r="H19" s="714"/>
      <c r="I19" s="714"/>
      <c r="J19" s="714"/>
      <c r="K19" s="714"/>
      <c r="L19" s="714"/>
      <c r="M19" s="714"/>
      <c r="N19" s="714"/>
      <c r="O19" s="715"/>
      <c r="P19" s="718"/>
      <c r="Q19" s="719"/>
      <c r="R19" s="718"/>
      <c r="S19" s="719"/>
      <c r="T19" s="720" t="str">
        <f>IFERROR(INDEX(Paramètres!$E$5:$E$25,MATCH(Biodiversité!AF19,Paramètres!$G$5:$G$25,0)),"Unité non retrouvée")</f>
        <v>arbre</v>
      </c>
      <c r="U19" s="721"/>
      <c r="W19" s="731">
        <f>IFERROR(IF(OR(T19="m linéaire",T19="arbre"),(P19*INDEX(Paramètres!$F$5:$F$25,MATCH(Biodiversité!AF19,Paramètres!$G$5:$G$25,0))) / 10000,P19*INDEX(Paramètres!$F$5:$F$25,MATCH(Biodiversité!AF19,Paramètres!$G$5:$G$25,0))),0)</f>
        <v>0</v>
      </c>
      <c r="X19" s="732"/>
      <c r="Y19" s="722">
        <f>IFERROR(IF(OR(T19="m linéaire",T19="arbre"),(R19*INDEX(Paramètres!$F$5:$F$25,MATCH(Biodiversité!AF19,Paramètres!$G$5:$G$25,0))) / 10000, R19*INDEX(Paramètres!$F$5:$F$25,MATCH(Biodiversité!AF19,Paramètres!$G$5:$G$25,0))),0)</f>
        <v>0</v>
      </c>
      <c r="Z19" s="723"/>
      <c r="AA19" s="20"/>
      <c r="AD19">
        <f>IF(R19&gt;0,INDEX(Paramètres!$H$5:$H$23,MATCH(AF19,Paramètres!$G$5:$G$23,0)),0)</f>
        <v>0</v>
      </c>
      <c r="AF19" s="36">
        <v>3</v>
      </c>
    </row>
    <row r="20" spans="2:32" ht="15" customHeight="1" x14ac:dyDescent="0.3">
      <c r="B20" s="19"/>
      <c r="C20" s="714" t="s">
        <v>211</v>
      </c>
      <c r="D20" s="714"/>
      <c r="E20" s="714"/>
      <c r="F20" s="714"/>
      <c r="G20" s="714"/>
      <c r="H20" s="714"/>
      <c r="I20" s="714"/>
      <c r="J20" s="714"/>
      <c r="K20" s="714"/>
      <c r="L20" s="714"/>
      <c r="M20" s="714"/>
      <c r="N20" s="714"/>
      <c r="O20" s="715"/>
      <c r="P20" s="718"/>
      <c r="Q20" s="719"/>
      <c r="R20" s="718"/>
      <c r="S20" s="719"/>
      <c r="T20" s="720" t="str">
        <f>IFERROR(INDEX(Paramètres!$E$5:$E$25,MATCH(Biodiversité!AF20,Paramètres!$G$5:$G$25,0)),"Unité non retrouvée")</f>
        <v>hectares</v>
      </c>
      <c r="U20" s="721"/>
      <c r="W20" s="731">
        <f>IFERROR(IF(OR(T20="m linéaire",T20="arbre"),(P20*INDEX(Paramètres!$F$5:$F$25,MATCH(Biodiversité!AF20,Paramètres!$G$5:$G$25,0))) / 10000,P20*INDEX(Paramètres!$F$5:$F$25,MATCH(Biodiversité!AF20,Paramètres!$G$5:$G$25,0))),0)</f>
        <v>0</v>
      </c>
      <c r="X20" s="732"/>
      <c r="Y20" s="722">
        <f>IFERROR(IF(OR(T20="m linéaire",T20="arbre"),(R20*INDEX(Paramètres!$F$5:$F$25,MATCH(Biodiversité!AF20,Paramètres!$G$5:$G$25,0))) / 10000, R20*INDEX(Paramètres!$F$5:$F$25,MATCH(Biodiversité!AF20,Paramètres!$G$5:$G$25,0))),0)</f>
        <v>0</v>
      </c>
      <c r="Z20" s="723"/>
      <c r="AA20" s="20"/>
      <c r="AD20">
        <f>IF(R20&gt;0,INDEX(Paramètres!$H$5:$H$23,MATCH(AF20,Paramètres!$G$5:$G$23,0)),0)</f>
        <v>0</v>
      </c>
      <c r="AF20" s="36">
        <v>4</v>
      </c>
    </row>
    <row r="21" spans="2:32" ht="15" customHeight="1" x14ac:dyDescent="0.3">
      <c r="B21" s="19"/>
      <c r="C21" s="714" t="s">
        <v>212</v>
      </c>
      <c r="D21" s="714"/>
      <c r="E21" s="714"/>
      <c r="F21" s="714"/>
      <c r="G21" s="714"/>
      <c r="H21" s="714"/>
      <c r="I21" s="714"/>
      <c r="J21" s="714"/>
      <c r="K21" s="714"/>
      <c r="L21" s="714"/>
      <c r="M21" s="714"/>
      <c r="N21" s="714"/>
      <c r="O21" s="715"/>
      <c r="P21" s="718"/>
      <c r="Q21" s="719"/>
      <c r="R21" s="737"/>
      <c r="S21" s="738"/>
      <c r="T21" s="720" t="str">
        <f>IFERROR(INDEX(Paramètres!$E$5:$E$25,MATCH(Biodiversité!AF21,Paramètres!$G$5:$G$25,0)),"Unité non retrouvée")</f>
        <v>hectares</v>
      </c>
      <c r="U21" s="721"/>
      <c r="W21" s="731">
        <f>IFERROR(IF(OR(T21="m linéaire",T21="arbre"),(P21*INDEX(Paramètres!$F$5:$F$25,MATCH(Biodiversité!AF21,Paramètres!$G$5:$G$25,0))) / 10000,P21*INDEX(Paramètres!$F$5:$F$25,MATCH(Biodiversité!AF21,Paramètres!$G$5:$G$25,0))),0)</f>
        <v>0</v>
      </c>
      <c r="X21" s="732"/>
      <c r="Y21" s="722">
        <f>IFERROR(IF(OR(T21="m linéaire",T21="arbre"),(R21*INDEX(Paramètres!$F$5:$F$25,MATCH(Biodiversité!AF21,Paramètres!$G$5:$G$25,0))) / 10000, R21*INDEX(Paramètres!$F$5:$F$25,MATCH(Biodiversité!AF21,Paramètres!$G$5:$G$25,0))),0)</f>
        <v>0</v>
      </c>
      <c r="Z21" s="723"/>
      <c r="AA21" s="20"/>
      <c r="AD21">
        <f>IF(R21&gt;0,INDEX(Paramètres!$H$5:$H$23,MATCH(AF21,Paramètres!$G$5:$G$23,0)),0)</f>
        <v>0</v>
      </c>
      <c r="AF21" s="36">
        <v>5</v>
      </c>
    </row>
    <row r="22" spans="2:32" ht="15" customHeight="1" x14ac:dyDescent="0.3">
      <c r="B22" s="19"/>
      <c r="C22" s="714" t="s">
        <v>213</v>
      </c>
      <c r="D22" s="714"/>
      <c r="E22" s="714"/>
      <c r="F22" s="714"/>
      <c r="G22" s="714"/>
      <c r="H22" s="714"/>
      <c r="I22" s="714"/>
      <c r="J22" s="714"/>
      <c r="K22" s="714"/>
      <c r="L22" s="714"/>
      <c r="M22" s="714"/>
      <c r="N22" s="714"/>
      <c r="O22" s="715"/>
      <c r="P22" s="718"/>
      <c r="Q22" s="719"/>
      <c r="R22" s="718"/>
      <c r="S22" s="719"/>
      <c r="T22" s="720" t="str">
        <f>IFERROR(INDEX(Paramètres!$E$5:$E$25,MATCH(Biodiversité!AF22,Paramètres!$G$5:$G$25,0)),"Unité non retrouvée")</f>
        <v>m linéaire</v>
      </c>
      <c r="U22" s="721"/>
      <c r="W22" s="731">
        <f>IFERROR(IF(OR(T22="m linéaire",T22="arbre"),(P22*INDEX(Paramètres!$F$5:$F$25,MATCH(Biodiversité!AF22,Paramètres!$G$5:$G$25,0))) / 10000,P22*INDEX(Paramètres!$F$5:$F$25,MATCH(Biodiversité!AF22,Paramètres!$G$5:$G$25,0))),0)</f>
        <v>0</v>
      </c>
      <c r="X22" s="732"/>
      <c r="Y22" s="722">
        <f>IFERROR(IF(OR(T22="m linéaire",T22="arbre"),(R22*INDEX(Paramètres!$F$5:$F$25,MATCH(Biodiversité!AF22,Paramètres!$G$5:$G$25,0))) / 10000, R22*INDEX(Paramètres!$F$5:$F$25,MATCH(Biodiversité!AF22,Paramètres!$G$5:$G$25,0))),0)</f>
        <v>0</v>
      </c>
      <c r="Z22" s="723"/>
      <c r="AA22" s="20"/>
      <c r="AD22">
        <f>IF(R22&gt;0,INDEX(Paramètres!$H$5:$H$23,MATCH(AF22,Paramètres!$G$5:$G$23,0)),0)</f>
        <v>0</v>
      </c>
      <c r="AF22" s="36">
        <v>6</v>
      </c>
    </row>
    <row r="23" spans="2:32" ht="15" customHeight="1" x14ac:dyDescent="0.3">
      <c r="B23" s="19"/>
      <c r="C23" s="714" t="s">
        <v>214</v>
      </c>
      <c r="D23" s="714"/>
      <c r="E23" s="714"/>
      <c r="F23" s="714"/>
      <c r="G23" s="714"/>
      <c r="H23" s="714"/>
      <c r="I23" s="714"/>
      <c r="J23" s="714"/>
      <c r="K23" s="714"/>
      <c r="L23" s="714"/>
      <c r="M23" s="714"/>
      <c r="N23" s="714"/>
      <c r="O23" s="715"/>
      <c r="P23" s="718"/>
      <c r="Q23" s="719"/>
      <c r="R23" s="718"/>
      <c r="S23" s="719"/>
      <c r="T23" s="720" t="str">
        <f>IFERROR(INDEX(Paramètres!$E$5:$E$25,MATCH(Biodiversité!AF23,Paramètres!$G$5:$G$25,0)),"Unité non retrouvée")</f>
        <v>m linéaire</v>
      </c>
      <c r="U23" s="721"/>
      <c r="W23" s="731">
        <f>IFERROR(IF(OR(T23="m linéaire",T23="arbre"),(P23*INDEX(Paramètres!$F$5:$F$25,MATCH(Biodiversité!AF23,Paramètres!$G$5:$G$25,0))) / 10000,P23*INDEX(Paramètres!$F$5:$F$25,MATCH(Biodiversité!AF23,Paramètres!$G$5:$G$25,0))),0)</f>
        <v>0</v>
      </c>
      <c r="X23" s="732"/>
      <c r="Y23" s="722">
        <f>IFERROR(IF(OR(T23="m linéaire",T23="arbre"),(R23*INDEX(Paramètres!$F$5:$F$25,MATCH(Biodiversité!AF23,Paramètres!$G$5:$G$25,0))) / 10000, R23*INDEX(Paramètres!$F$5:$F$25,MATCH(Biodiversité!AF23,Paramètres!$G$5:$G$25,0))),0)</f>
        <v>0</v>
      </c>
      <c r="Z23" s="723"/>
      <c r="AA23" s="20"/>
      <c r="AD23">
        <f>IF(R23&gt;0,INDEX(Paramètres!$H$5:$H$23,MATCH(AF23,Paramètres!$G$5:$G$23,0)),0)</f>
        <v>0</v>
      </c>
      <c r="AF23" s="36">
        <v>7</v>
      </c>
    </row>
    <row r="24" spans="2:32" ht="15" customHeight="1" x14ac:dyDescent="0.3">
      <c r="B24" s="19"/>
      <c r="C24" s="714" t="s">
        <v>2513</v>
      </c>
      <c r="D24" s="714"/>
      <c r="E24" s="714"/>
      <c r="F24" s="714"/>
      <c r="G24" s="714"/>
      <c r="H24" s="714"/>
      <c r="I24" s="714"/>
      <c r="J24" s="714"/>
      <c r="K24" s="714"/>
      <c r="L24" s="714"/>
      <c r="M24" s="714"/>
      <c r="N24" s="714"/>
      <c r="O24" s="715"/>
      <c r="P24" s="718"/>
      <c r="Q24" s="719"/>
      <c r="R24" s="733"/>
      <c r="S24" s="734"/>
      <c r="T24" s="720" t="str">
        <f>IFERROR(INDEX(Paramètres!$E$5:$E$25,MATCH(Biodiversité!AF24,Paramètres!$G$5:$G$25,0)),"Unité non retrouvée")</f>
        <v>m linéaire</v>
      </c>
      <c r="U24" s="721"/>
      <c r="W24" s="731">
        <f>IFERROR(IF(OR(T24="m linéaire",T24="arbre"),(P24*INDEX(Paramètres!$F$5:$F$25,MATCH(Biodiversité!AF24,Paramètres!$G$5:$G$25,0))) / 10000,P24*INDEX(Paramètres!$F$5:$F$25,MATCH(Biodiversité!AF24,Paramètres!$G$5:$G$25,0))),0)</f>
        <v>0</v>
      </c>
      <c r="X24" s="732"/>
      <c r="Y24" s="735"/>
      <c r="Z24" s="736"/>
      <c r="AA24" s="20"/>
      <c r="AD24">
        <f>IF(R24&gt;0,INDEX(Paramètres!$H$5:$H$23,MATCH(AF24,Paramètres!$G$5:$G$23,0)),0)</f>
        <v>0</v>
      </c>
      <c r="AF24" s="36">
        <v>8</v>
      </c>
    </row>
    <row r="25" spans="2:32" x14ac:dyDescent="0.3">
      <c r="B25" s="19"/>
      <c r="C25" s="743" t="s">
        <v>2514</v>
      </c>
      <c r="D25" s="743"/>
      <c r="E25" s="743"/>
      <c r="F25" s="743"/>
      <c r="G25" s="743"/>
      <c r="H25" s="743"/>
      <c r="I25" s="743"/>
      <c r="J25" s="743"/>
      <c r="K25" s="743"/>
      <c r="L25" s="743"/>
      <c r="M25" s="743"/>
      <c r="N25" s="743"/>
      <c r="O25" s="744"/>
      <c r="P25" s="733"/>
      <c r="Q25" s="734"/>
      <c r="R25" s="718"/>
      <c r="S25" s="719"/>
      <c r="T25" s="720" t="str">
        <f>IFERROR(INDEX(Paramètres!$E$5:$E$25,MATCH(Biodiversité!AF25,Paramètres!$G$5:$G$25,0)),"Unité non retrouvée")</f>
        <v>m linéaire</v>
      </c>
      <c r="U25" s="721"/>
      <c r="W25" s="733"/>
      <c r="X25" s="734"/>
      <c r="Y25" s="722">
        <f>IFERROR(IF(OR(T25="m linéaire",T25="arbre"),(R25*INDEX(Paramètres!$F$5:$F$25,MATCH(Biodiversité!AF25,Paramètres!$G$5:$G$25,0))) / 10000, R25*INDEX(Paramètres!$F$5:$F$25,MATCH(Biodiversité!AF25,Paramètres!$G$5:$G$25,0))),0)</f>
        <v>0</v>
      </c>
      <c r="Z25" s="723"/>
      <c r="AA25" s="20"/>
      <c r="AD25">
        <f>IF(R25&gt;0,INDEX(Paramètres!$H$5:$H$23,MATCH(AF25,Paramètres!$G$5:$G$23,0)),0)</f>
        <v>0</v>
      </c>
      <c r="AF25" s="36">
        <v>9</v>
      </c>
    </row>
    <row r="26" spans="2:32" ht="15" customHeight="1" x14ac:dyDescent="0.3">
      <c r="B26" s="19"/>
      <c r="C26" s="714" t="s">
        <v>217</v>
      </c>
      <c r="D26" s="714"/>
      <c r="E26" s="714"/>
      <c r="F26" s="714"/>
      <c r="G26" s="714"/>
      <c r="H26" s="714"/>
      <c r="I26" s="714"/>
      <c r="J26" s="714"/>
      <c r="K26" s="714"/>
      <c r="L26" s="714"/>
      <c r="M26" s="714"/>
      <c r="N26" s="714"/>
      <c r="O26" s="715"/>
      <c r="P26" s="718"/>
      <c r="Q26" s="719"/>
      <c r="R26" s="718"/>
      <c r="S26" s="719"/>
      <c r="T26" s="720" t="str">
        <f>IFERROR(INDEX(Paramètres!$E$5:$E$25,MATCH(Biodiversité!AF26,Paramètres!$G$5:$G$25,0)),"Unité non retrouvée")</f>
        <v>hectares</v>
      </c>
      <c r="U26" s="721"/>
      <c r="W26" s="731">
        <f>IFERROR(IF(OR(T26="m linéaire",T26="arbre"),(P26*INDEX(Paramètres!$F$5:$F$25,MATCH(Biodiversité!AF26,Paramètres!$G$5:$G$25,0))) / 10000,P26*INDEX(Paramètres!$F$5:$F$25,MATCH(Biodiversité!AF26,Paramètres!$G$5:$G$25,0))),0)</f>
        <v>0</v>
      </c>
      <c r="X26" s="732"/>
      <c r="Y26" s="722">
        <f>IFERROR(IF(OR(T26="m linéaire",T26="arbre"),(R26*INDEX(Paramètres!$F$5:$F$25,MATCH(Biodiversité!AF26,Paramètres!$G$5:$G$25,0))) / 10000, R26*INDEX(Paramètres!$F$5:$F$25,MATCH(Biodiversité!AF26,Paramètres!$G$5:$G$25,0))),0)</f>
        <v>0</v>
      </c>
      <c r="Z26" s="723"/>
      <c r="AA26" s="20"/>
      <c r="AD26">
        <f>IF(R26&gt;0,INDEX(Paramètres!$H$5:$H$23,MATCH(AF26,Paramètres!$G$5:$G$23,0)),0)</f>
        <v>0</v>
      </c>
      <c r="AF26" s="36">
        <v>10</v>
      </c>
    </row>
    <row r="27" spans="2:32" ht="15" customHeight="1" x14ac:dyDescent="0.3">
      <c r="B27" s="19"/>
      <c r="C27" s="714" t="s">
        <v>218</v>
      </c>
      <c r="D27" s="714"/>
      <c r="E27" s="714"/>
      <c r="F27" s="714"/>
      <c r="G27" s="714"/>
      <c r="H27" s="714"/>
      <c r="I27" s="714"/>
      <c r="J27" s="714"/>
      <c r="K27" s="714"/>
      <c r="L27" s="714"/>
      <c r="M27" s="714"/>
      <c r="N27" s="714"/>
      <c r="O27" s="715"/>
      <c r="P27" s="718"/>
      <c r="Q27" s="719"/>
      <c r="R27" s="718"/>
      <c r="S27" s="719"/>
      <c r="T27" s="720" t="str">
        <f>IFERROR(INDEX(Paramètres!$E$5:$E$25,MATCH(Biodiversité!AF27,Paramètres!$G$5:$G$25,0)),"Unité non retrouvée")</f>
        <v>hectares</v>
      </c>
      <c r="U27" s="721"/>
      <c r="W27" s="731">
        <f>IFERROR(IF(OR(T27="m linéaire",T27="arbre"),(P27*INDEX(Paramètres!$F$5:$F$25,MATCH(Biodiversité!AF27,Paramètres!$G$5:$G$25,0))) / 10000,P27*INDEX(Paramètres!$F$5:$F$25,MATCH(Biodiversité!AF27,Paramètres!$G$5:$G$25,0))),0)</f>
        <v>0</v>
      </c>
      <c r="X27" s="732"/>
      <c r="Y27" s="722">
        <f>IFERROR(IF(OR(T27="m linéaire",T27="arbre"),(R27*INDEX(Paramètres!$F$5:$F$25,MATCH(Biodiversité!AF27,Paramètres!$G$5:$G$25,0))) / 10000, R27*INDEX(Paramètres!$F$5:$F$25,MATCH(Biodiversité!AF27,Paramètres!$G$5:$G$25,0))),0)</f>
        <v>0</v>
      </c>
      <c r="Z27" s="723"/>
      <c r="AA27" s="20"/>
      <c r="AD27">
        <f>IF(R27&gt;0,INDEX(Paramètres!$H$5:$H$23,MATCH(AF27,Paramètres!$G$5:$G$23,0)),0)</f>
        <v>0</v>
      </c>
      <c r="AF27" s="36">
        <v>11</v>
      </c>
    </row>
    <row r="28" spans="2:32" ht="15" customHeight="1" x14ac:dyDescent="0.3">
      <c r="B28" s="19"/>
      <c r="C28" s="714" t="s">
        <v>219</v>
      </c>
      <c r="D28" s="714"/>
      <c r="E28" s="714"/>
      <c r="F28" s="714"/>
      <c r="G28" s="714"/>
      <c r="H28" s="714"/>
      <c r="I28" s="714"/>
      <c r="J28" s="714"/>
      <c r="K28" s="714"/>
      <c r="L28" s="714"/>
      <c r="M28" s="714"/>
      <c r="N28" s="714"/>
      <c r="O28" s="715"/>
      <c r="P28" s="726"/>
      <c r="Q28" s="727"/>
      <c r="R28" s="718"/>
      <c r="S28" s="719"/>
      <c r="T28" s="720" t="str">
        <f>IFERROR(INDEX(Paramètres!$E$5:$E$25,MATCH(Biodiversité!AF28,Paramètres!$G$5:$G$25,0)),"Unité non retrouvée")</f>
        <v>hectares</v>
      </c>
      <c r="U28" s="721"/>
      <c r="W28" s="726"/>
      <c r="X28" s="727"/>
      <c r="Y28" s="722">
        <f>IFERROR(IF(OR(T28="m linéaire",T28="arbre"),(R28*INDEX(Paramètres!$F$5:$F$25,MATCH(Biodiversité!AF28,Paramètres!$G$5:$G$25,0))) / 10000, R28*INDEX(Paramètres!$F$5:$F$25,MATCH(Biodiversité!AF28,Paramètres!$G$5:$G$25,0))),0)</f>
        <v>0</v>
      </c>
      <c r="Z28" s="723"/>
      <c r="AA28" s="20"/>
      <c r="AD28">
        <f>IF(R28&gt;0,INDEX(Paramètres!$H$5:$H$23,MATCH(AF28,Paramètres!$G$5:$G$23,0)),0)</f>
        <v>0</v>
      </c>
      <c r="AF28" s="36">
        <v>12</v>
      </c>
    </row>
    <row r="29" spans="2:32" x14ac:dyDescent="0.3">
      <c r="B29" s="19"/>
      <c r="C29" s="743" t="s">
        <v>220</v>
      </c>
      <c r="D29" s="743"/>
      <c r="E29" s="743"/>
      <c r="F29" s="743"/>
      <c r="G29" s="743"/>
      <c r="H29" s="743"/>
      <c r="I29" s="743"/>
      <c r="J29" s="743"/>
      <c r="K29" s="743"/>
      <c r="L29" s="743"/>
      <c r="M29" s="743"/>
      <c r="N29" s="743"/>
      <c r="O29" s="744"/>
      <c r="P29" s="724"/>
      <c r="Q29" s="725"/>
      <c r="R29" s="718"/>
      <c r="S29" s="719"/>
      <c r="T29" s="720" t="str">
        <f>IFERROR(INDEX(Paramètres!$E$5:$E$25,MATCH(Biodiversité!AF29,Paramètres!$G$5:$G$25,0)),"Unité non retrouvée")</f>
        <v>hectares</v>
      </c>
      <c r="U29" s="721"/>
      <c r="W29" s="724"/>
      <c r="X29" s="725"/>
      <c r="Y29" s="722">
        <f>IFERROR(IF(OR(T29="m linéaire",T29="arbre"),(R29*INDEX(Paramètres!$F$5:$F$25,MATCH(Biodiversité!AF29,Paramètres!$G$5:$G$25,0))) / 10000, R29*INDEX(Paramètres!$F$5:$F$25,MATCH(Biodiversité!AF29,Paramètres!$G$5:$G$25,0))),0)</f>
        <v>0</v>
      </c>
      <c r="Z29" s="723"/>
      <c r="AA29" s="20"/>
      <c r="AD29">
        <f>IF(R29&gt;0,INDEX(Paramètres!$H$5:$H$23,MATCH(AF29,Paramètres!$G$5:$G$23,0)),0)</f>
        <v>0</v>
      </c>
      <c r="AF29" s="36">
        <v>13</v>
      </c>
    </row>
    <row r="30" spans="2:32" ht="15" customHeight="1" x14ac:dyDescent="0.3">
      <c r="B30" s="19"/>
      <c r="C30" s="714" t="s">
        <v>221</v>
      </c>
      <c r="D30" s="714"/>
      <c r="E30" s="714"/>
      <c r="F30" s="714"/>
      <c r="G30" s="714"/>
      <c r="H30" s="714"/>
      <c r="I30" s="714"/>
      <c r="J30" s="714"/>
      <c r="K30" s="714"/>
      <c r="L30" s="714"/>
      <c r="M30" s="714"/>
      <c r="N30" s="714"/>
      <c r="O30" s="715"/>
      <c r="P30" s="724"/>
      <c r="Q30" s="725"/>
      <c r="R30" s="718"/>
      <c r="S30" s="719"/>
      <c r="T30" s="720" t="str">
        <f>IFERROR(INDEX(Paramètres!$E$5:$E$25,MATCH(Biodiversité!AF30,Paramètres!$G$5:$G$25,0)),"Unité non retrouvée")</f>
        <v>m linéaire</v>
      </c>
      <c r="U30" s="721"/>
      <c r="W30" s="724"/>
      <c r="X30" s="725"/>
      <c r="Y30" s="722">
        <f>IFERROR(IF(OR(T30="m linéaire",T30="arbre"),(R30*INDEX(Paramètres!$F$5:$F$25,MATCH(Biodiversité!AF30,Paramètres!$G$5:$G$25,0))) / 10000, R30*INDEX(Paramètres!$F$5:$F$25,MATCH(Biodiversité!AF30,Paramètres!$G$5:$G$25,0))),0)</f>
        <v>0</v>
      </c>
      <c r="Z30" s="723"/>
      <c r="AA30" s="20"/>
      <c r="AD30">
        <f>IF(R30&gt;0,INDEX(Paramètres!$H$5:$H$23,MATCH(AF30,Paramètres!$G$5:$G$23,0)),0)</f>
        <v>0</v>
      </c>
      <c r="AF30" s="36">
        <v>14</v>
      </c>
    </row>
    <row r="31" spans="2:32" ht="15" customHeight="1" x14ac:dyDescent="0.3">
      <c r="B31" s="19"/>
      <c r="C31" s="714" t="s">
        <v>222</v>
      </c>
      <c r="D31" s="714"/>
      <c r="E31" s="714"/>
      <c r="F31" s="714"/>
      <c r="G31" s="714"/>
      <c r="H31" s="714"/>
      <c r="I31" s="714"/>
      <c r="J31" s="714"/>
      <c r="K31" s="714"/>
      <c r="L31" s="714"/>
      <c r="M31" s="714"/>
      <c r="N31" s="714"/>
      <c r="O31" s="715"/>
      <c r="P31" s="724"/>
      <c r="Q31" s="725"/>
      <c r="R31" s="718"/>
      <c r="S31" s="719"/>
      <c r="T31" s="720" t="str">
        <f>IFERROR(INDEX(Paramètres!$E$5:$E$25,MATCH(Biodiversité!AF31,Paramètres!$G$5:$G$25,0)),"Unité non retrouvée")</f>
        <v>hectares</v>
      </c>
      <c r="U31" s="721"/>
      <c r="W31" s="724"/>
      <c r="X31" s="725"/>
      <c r="Y31" s="722">
        <f>IFERROR(IF(OR(T31="m linéaire",T31="arbre"),(R31*INDEX(Paramètres!$F$5:$F$25,MATCH(Biodiversité!AF31,Paramètres!$G$5:$G$25,0))) / 10000, R31*INDEX(Paramètres!$F$5:$F$25,MATCH(Biodiversité!AF31,Paramètres!$G$5:$G$25,0))),0)</f>
        <v>0</v>
      </c>
      <c r="Z31" s="723"/>
      <c r="AA31" s="20"/>
      <c r="AD31">
        <f>IF(R31&gt;0,INDEX(Paramètres!$H$5:$H$23,MATCH(AF31,Paramètres!$G$5:$G$23,0)),0)</f>
        <v>0</v>
      </c>
      <c r="AF31" s="36">
        <v>15</v>
      </c>
    </row>
    <row r="32" spans="2:32" ht="15" customHeight="1" x14ac:dyDescent="0.3">
      <c r="B32" s="19"/>
      <c r="C32" s="714" t="s">
        <v>223</v>
      </c>
      <c r="D32" s="714"/>
      <c r="E32" s="714"/>
      <c r="F32" s="714"/>
      <c r="G32" s="714"/>
      <c r="H32" s="714"/>
      <c r="I32" s="714"/>
      <c r="J32" s="714"/>
      <c r="K32" s="714"/>
      <c r="L32" s="714"/>
      <c r="M32" s="714"/>
      <c r="N32" s="714"/>
      <c r="O32" s="715"/>
      <c r="P32" s="724"/>
      <c r="Q32" s="725"/>
      <c r="R32" s="718"/>
      <c r="S32" s="719"/>
      <c r="T32" s="720" t="str">
        <f>IFERROR(INDEX(Paramètres!$E$5:$E$25,MATCH(Biodiversité!AF32,Paramètres!$G$5:$G$25,0)),"Unité non retrouvée")</f>
        <v>m linéaire</v>
      </c>
      <c r="U32" s="721"/>
      <c r="W32" s="724"/>
      <c r="X32" s="725"/>
      <c r="Y32" s="722">
        <f>IFERROR(IF(OR(T32="m linéaire",T32="arbre"),(R32*INDEX(Paramètres!$F$5:$F$25,MATCH(Biodiversité!AF32,Paramètres!$G$5:$G$25,0))) / 10000, R32*INDEX(Paramètres!$F$5:$F$25,MATCH(Biodiversité!AF32,Paramètres!$G$5:$G$25,0))),0)</f>
        <v>0</v>
      </c>
      <c r="Z32" s="723"/>
      <c r="AA32" s="20"/>
      <c r="AD32">
        <f>IF(R32&gt;0,INDEX(Paramètres!$H$5:$H$23,MATCH(AF32,Paramètres!$G$5:$G$23,0)),0)</f>
        <v>0</v>
      </c>
      <c r="AF32" s="36">
        <v>16</v>
      </c>
    </row>
    <row r="33" spans="2:32" x14ac:dyDescent="0.3">
      <c r="B33" s="19"/>
      <c r="C33" s="714" t="s">
        <v>569</v>
      </c>
      <c r="D33" s="714"/>
      <c r="E33" s="714"/>
      <c r="F33" s="714"/>
      <c r="G33" s="714"/>
      <c r="H33" s="714"/>
      <c r="I33" s="714"/>
      <c r="J33" s="714"/>
      <c r="K33" s="714"/>
      <c r="L33" s="714"/>
      <c r="M33" s="714"/>
      <c r="N33" s="714"/>
      <c r="O33" s="715"/>
      <c r="P33" s="724"/>
      <c r="Q33" s="725"/>
      <c r="R33" s="718"/>
      <c r="S33" s="719"/>
      <c r="T33" s="720" t="str">
        <f>IFERROR(INDEX(Paramètres!$E$5:$E$25,MATCH(Biodiversité!AF33,Paramètres!$G$5:$G$25,0)),"Unité non retrouvée")</f>
        <v>hectares</v>
      </c>
      <c r="U33" s="721"/>
      <c r="W33" s="724"/>
      <c r="X33" s="725"/>
      <c r="Y33" s="722">
        <f>IFERROR(IF(OR(T33="m linéaire",T33="arbre"),(R33*INDEX(Paramètres!$F$5:$F$25,MATCH(Biodiversité!AF33,Paramètres!$G$5:$G$25,0))) / 10000, R33*INDEX(Paramètres!$F$5:$F$25,MATCH(Biodiversité!AF33,Paramètres!$G$5:$G$25,0))),0)</f>
        <v>0</v>
      </c>
      <c r="Z33" s="723"/>
      <c r="AA33" s="20"/>
      <c r="AD33">
        <f>IF(R33&gt;0,INDEX(Paramètres!$H$5:$H$23,MATCH(AF33,Paramètres!$G$5:$G$23,0)),0)</f>
        <v>0</v>
      </c>
      <c r="AF33" s="36">
        <v>17</v>
      </c>
    </row>
    <row r="34" spans="2:32" x14ac:dyDescent="0.3">
      <c r="B34" s="19"/>
      <c r="C34" s="714" t="s">
        <v>2289</v>
      </c>
      <c r="D34" s="714"/>
      <c r="E34" s="714"/>
      <c r="F34" s="714"/>
      <c r="G34" s="714"/>
      <c r="H34" s="714"/>
      <c r="I34" s="714"/>
      <c r="J34" s="714"/>
      <c r="K34" s="714"/>
      <c r="L34" s="714"/>
      <c r="M34" s="714"/>
      <c r="N34" s="714"/>
      <c r="O34" s="715"/>
      <c r="P34" s="724"/>
      <c r="Q34" s="725"/>
      <c r="R34" s="718"/>
      <c r="S34" s="719"/>
      <c r="T34" s="720" t="str">
        <f>IFERROR(INDEX(Paramètres!$E$5:$E$25,MATCH(Biodiversité!AF34,Paramètres!$G$5:$G$25,0)),"Unité non retrouvée")</f>
        <v>m linéaire</v>
      </c>
      <c r="U34" s="721"/>
      <c r="W34" s="724"/>
      <c r="X34" s="725"/>
      <c r="Y34" s="722">
        <f>IFERROR(IF(OR(T34="m linéaire",T34="arbre"),(R34*INDEX(Paramètres!$F$5:$F$25,MATCH(Biodiversité!AF34,Paramètres!$G$5:$G$25,0))) / 10000, R34*INDEX(Paramètres!$F$5:$F$25,MATCH(Biodiversité!AF34,Paramètres!$G$5:$G$25,0))),0)</f>
        <v>0</v>
      </c>
      <c r="Z34" s="723"/>
      <c r="AA34" s="20"/>
      <c r="AD34">
        <f>IF(R34&gt;0,INDEX(Paramètres!$H$5:$H$23,MATCH(AF34,Paramètres!$G$5:$G$23,0)),0)</f>
        <v>0</v>
      </c>
      <c r="AF34" s="36">
        <v>18</v>
      </c>
    </row>
    <row r="35" spans="2:32" x14ac:dyDescent="0.3">
      <c r="B35" s="19"/>
      <c r="C35" s="714" t="s">
        <v>2290</v>
      </c>
      <c r="D35" s="714"/>
      <c r="E35" s="714"/>
      <c r="F35" s="714"/>
      <c r="G35" s="714"/>
      <c r="H35" s="714"/>
      <c r="I35" s="714"/>
      <c r="J35" s="714"/>
      <c r="K35" s="714"/>
      <c r="L35" s="714"/>
      <c r="M35" s="714"/>
      <c r="N35" s="714"/>
      <c r="O35" s="715"/>
      <c r="P35" s="716"/>
      <c r="Q35" s="717"/>
      <c r="R35" s="718"/>
      <c r="S35" s="719"/>
      <c r="T35" s="720" t="str">
        <f>IFERROR(INDEX(Paramètres!$E$5:$E$25,MATCH(Biodiversité!AF35,Paramètres!$G$5:$G$25,0)),"Unité non retrouvée")</f>
        <v>m linéaire</v>
      </c>
      <c r="U35" s="721"/>
      <c r="W35" s="716"/>
      <c r="X35" s="717"/>
      <c r="Y35" s="722">
        <f>IFERROR(IF(OR(T35="m linéaire",T35="arbre"),(R35*INDEX(Paramètres!$F$5:$F$25,MATCH(Biodiversité!AF35,Paramètres!$G$5:$G$25,0))) / 10000, R35*INDEX(Paramètres!$F$5:$F$25,MATCH(Biodiversité!AF35,Paramètres!$G$5:$G$25,0))),0)</f>
        <v>0</v>
      </c>
      <c r="Z35" s="723"/>
      <c r="AA35" s="20"/>
      <c r="AD35">
        <f>IF(R35&gt;0,INDEX(Paramètres!$H$5:$H$23,MATCH(AF35,Paramètres!$G$5:$G$23,0)),0)</f>
        <v>0</v>
      </c>
      <c r="AF35" s="36">
        <v>19</v>
      </c>
    </row>
    <row r="36" spans="2:32" x14ac:dyDescent="0.3">
      <c r="B36" s="19"/>
      <c r="C36" s="330" t="s">
        <v>2515</v>
      </c>
      <c r="D36" s="177"/>
      <c r="E36" s="177"/>
      <c r="F36" s="177"/>
      <c r="G36" s="177"/>
      <c r="H36" s="177"/>
      <c r="I36" s="177"/>
      <c r="J36" s="177"/>
      <c r="K36" s="177"/>
      <c r="L36" s="177"/>
      <c r="M36" s="177"/>
      <c r="N36" s="177"/>
      <c r="O36" s="177"/>
      <c r="P36" s="331"/>
      <c r="Q36" s="331"/>
      <c r="R36" s="331"/>
      <c r="S36" s="331"/>
      <c r="T36" s="36"/>
      <c r="U36" s="36"/>
      <c r="W36" s="332"/>
      <c r="X36" s="332"/>
      <c r="Y36" s="332"/>
      <c r="Z36" s="332"/>
      <c r="AA36" s="20"/>
      <c r="AF36" s="36"/>
    </row>
    <row r="37" spans="2:32" x14ac:dyDescent="0.3">
      <c r="B37" s="19"/>
      <c r="C37" s="150" t="s">
        <v>2516</v>
      </c>
      <c r="AA37" s="20"/>
      <c r="AB37" s="19"/>
    </row>
    <row r="38" spans="2:32" x14ac:dyDescent="0.3">
      <c r="B38" s="19"/>
      <c r="AA38" s="20"/>
      <c r="AB38" s="19"/>
    </row>
    <row r="39" spans="2:32" x14ac:dyDescent="0.3">
      <c r="B39" s="19"/>
      <c r="AA39" s="20"/>
      <c r="AB39" s="19"/>
    </row>
    <row r="40" spans="2:32" x14ac:dyDescent="0.3">
      <c r="B40" s="19"/>
      <c r="E40" s="42" t="s">
        <v>298</v>
      </c>
      <c r="AA40" s="20"/>
      <c r="AB40" s="19" t="s">
        <v>380</v>
      </c>
    </row>
    <row r="41" spans="2:32" x14ac:dyDescent="0.3">
      <c r="B41" s="19"/>
      <c r="E41" s="42" t="s">
        <v>419</v>
      </c>
      <c r="W41" s="745" t="str">
        <f>IFERROR(IF(OR(T42&lt;10,T43&gt;0.75,T44&gt;0.75),"NON","OUI"),"")</f>
        <v>NON</v>
      </c>
      <c r="X41" s="746"/>
      <c r="Y41" s="141"/>
      <c r="AA41" s="20"/>
      <c r="AB41" s="19"/>
    </row>
    <row r="42" spans="2:32" x14ac:dyDescent="0.3">
      <c r="B42" s="19"/>
      <c r="E42" s="42"/>
      <c r="F42" s="65" t="s">
        <v>2510</v>
      </c>
      <c r="T42" s="753">
        <f>T47</f>
        <v>0</v>
      </c>
      <c r="U42" s="754"/>
      <c r="W42" s="65"/>
      <c r="AA42" s="20"/>
      <c r="AB42" s="19"/>
    </row>
    <row r="43" spans="2:32" x14ac:dyDescent="0.3">
      <c r="B43" s="19"/>
      <c r="E43" s="42"/>
      <c r="F43" s="65" t="s">
        <v>420</v>
      </c>
      <c r="T43" s="684">
        <f>IFERROR((SUM(Surfaces!O115:O119)+Surfaces!O96+Surfaces!O97+Surfaces!O94+Surfaces!O95+Surfaces!O105+Surfaces!O103+Surfaces!O104)/T47,0)</f>
        <v>0</v>
      </c>
      <c r="U43" s="685"/>
      <c r="W43" s="141"/>
      <c r="AA43" s="20"/>
      <c r="AB43" s="19"/>
    </row>
    <row r="44" spans="2:32" x14ac:dyDescent="0.3">
      <c r="B44" s="19"/>
      <c r="E44" s="42"/>
      <c r="F44" s="65" t="s">
        <v>421</v>
      </c>
      <c r="T44" s="684">
        <f>IF(cSAU=0,0,SUM(Surfaces!O115:O122,Surfaces!O82)/Surfaces!O25)</f>
        <v>0</v>
      </c>
      <c r="U44" s="685"/>
      <c r="W44" s="141"/>
      <c r="AA44" s="20"/>
      <c r="AB44" s="19"/>
    </row>
    <row r="45" spans="2:32" x14ac:dyDescent="0.3">
      <c r="B45" s="19"/>
      <c r="E45" s="42"/>
      <c r="F45" s="65"/>
      <c r="T45" s="140"/>
      <c r="U45" s="140"/>
      <c r="AA45" s="20"/>
      <c r="AB45" s="19"/>
    </row>
    <row r="46" spans="2:32" x14ac:dyDescent="0.3">
      <c r="B46" s="19"/>
      <c r="E46" s="104" t="s">
        <v>706</v>
      </c>
      <c r="F46" s="47"/>
      <c r="G46" s="47"/>
      <c r="H46" s="47"/>
      <c r="I46" s="47"/>
      <c r="J46" s="47"/>
      <c r="K46" s="47"/>
      <c r="L46" s="47"/>
      <c r="M46" s="47"/>
      <c r="N46" s="47"/>
      <c r="O46" s="47"/>
      <c r="P46" s="47"/>
      <c r="Q46" s="47"/>
      <c r="R46" s="47"/>
      <c r="S46" s="43"/>
      <c r="T46" s="753">
        <f>SUM(W17:X35)</f>
        <v>0</v>
      </c>
      <c r="U46" s="754"/>
      <c r="AA46" s="20"/>
      <c r="AB46" s="19"/>
    </row>
    <row r="47" spans="2:32" x14ac:dyDescent="0.3">
      <c r="B47" s="19"/>
      <c r="E47" s="106" t="s">
        <v>570</v>
      </c>
      <c r="F47" s="48"/>
      <c r="G47" s="48"/>
      <c r="H47" s="48"/>
      <c r="I47" s="48"/>
      <c r="J47" s="48"/>
      <c r="K47" s="48"/>
      <c r="L47" s="48"/>
      <c r="M47" s="48"/>
      <c r="N47" s="48"/>
      <c r="O47" s="48"/>
      <c r="P47" s="48"/>
      <c r="Q47" s="48"/>
      <c r="R47" s="48"/>
      <c r="S47" s="44"/>
      <c r="T47" s="753">
        <f>SUM(Surfaces!O77:O83)+SUM(Surfaces!O87:O90)+SUM(Surfaces!O94:O97)+Surfaces!O101+SUM(Surfaces!O109:O111)+SUM(Surfaces!O128:O129)+SUM(Surfaces!O133:O136)+SUM(Surfaces!O115:O119)+Surfaces!O103+Surfaces!O104</f>
        <v>0</v>
      </c>
      <c r="U47" s="754"/>
      <c r="AA47" s="20"/>
      <c r="AB47" s="19"/>
    </row>
    <row r="48" spans="2:32" x14ac:dyDescent="0.3">
      <c r="B48" s="19"/>
      <c r="E48" s="106" t="s">
        <v>236</v>
      </c>
      <c r="F48" s="48"/>
      <c r="G48" s="48"/>
      <c r="H48" s="48"/>
      <c r="I48" s="48"/>
      <c r="J48" s="48"/>
      <c r="K48" s="48"/>
      <c r="L48" s="48"/>
      <c r="M48" s="48"/>
      <c r="N48" s="48"/>
      <c r="O48" s="48"/>
      <c r="P48" s="48"/>
      <c r="Q48" s="48"/>
      <c r="R48" s="48"/>
      <c r="S48" s="44"/>
      <c r="T48" s="682">
        <f>IFERROR(T46/T47,0)</f>
        <v>0</v>
      </c>
      <c r="U48" s="683"/>
      <c r="W48" s="745" t="str">
        <f>IF(W41="NON","NON CONCERNÉE",IF(T48&lt;0.04,"KO","OK"))</f>
        <v>NON CONCERNÉE</v>
      </c>
      <c r="X48" s="746"/>
      <c r="AA48" s="20"/>
      <c r="AB48" s="19"/>
    </row>
    <row r="49" spans="2:28" x14ac:dyDescent="0.3">
      <c r="B49" s="19"/>
      <c r="E49" s="65"/>
      <c r="T49" s="137"/>
      <c r="U49" s="137"/>
      <c r="W49" s="36"/>
      <c r="X49" s="36"/>
      <c r="AA49" s="20"/>
      <c r="AB49" s="19"/>
    </row>
    <row r="50" spans="2:28" x14ac:dyDescent="0.3">
      <c r="B50" s="19"/>
      <c r="E50" s="42" t="s">
        <v>2292</v>
      </c>
      <c r="T50" s="36"/>
      <c r="U50" s="36"/>
      <c r="W50" s="36"/>
      <c r="X50" s="36"/>
      <c r="AA50" s="20"/>
      <c r="AB50" s="19"/>
    </row>
    <row r="51" spans="2:28" x14ac:dyDescent="0.3">
      <c r="B51" s="19"/>
      <c r="E51" s="104" t="s">
        <v>707</v>
      </c>
      <c r="F51" s="47"/>
      <c r="G51" s="47"/>
      <c r="H51" s="47"/>
      <c r="I51" s="47"/>
      <c r="J51" s="47"/>
      <c r="K51" s="47"/>
      <c r="L51" s="47"/>
      <c r="M51" s="47"/>
      <c r="N51" s="47"/>
      <c r="O51" s="47"/>
      <c r="P51" s="47"/>
      <c r="Q51" s="47"/>
      <c r="R51" s="47"/>
      <c r="S51" s="43"/>
      <c r="T51" s="728">
        <f>SUM(Y17:Z35)</f>
        <v>0</v>
      </c>
      <c r="U51" s="729"/>
      <c r="W51" s="36"/>
      <c r="X51" s="36"/>
      <c r="AA51" s="20"/>
      <c r="AB51" s="19"/>
    </row>
    <row r="52" spans="2:28" x14ac:dyDescent="0.3">
      <c r="B52" s="19"/>
      <c r="E52" s="106" t="s">
        <v>379</v>
      </c>
      <c r="F52" s="48"/>
      <c r="G52" s="48"/>
      <c r="H52" s="48"/>
      <c r="I52" s="48"/>
      <c r="J52" s="48"/>
      <c r="K52" s="48"/>
      <c r="L52" s="48"/>
      <c r="M52" s="48"/>
      <c r="N52" s="48"/>
      <c r="O52" s="48"/>
      <c r="P52" s="48"/>
      <c r="Q52" s="48"/>
      <c r="R52" s="48"/>
      <c r="S52" s="44"/>
      <c r="T52" s="728">
        <f>Surfaces!O23</f>
        <v>0</v>
      </c>
      <c r="U52" s="729"/>
      <c r="W52" s="678" t="s">
        <v>3204</v>
      </c>
      <c r="X52" s="678"/>
      <c r="AA52" s="20"/>
      <c r="AB52" s="19"/>
    </row>
    <row r="53" spans="2:28" x14ac:dyDescent="0.3">
      <c r="B53" s="19"/>
      <c r="E53" s="106" t="s">
        <v>2293</v>
      </c>
      <c r="F53" s="48"/>
      <c r="G53" s="48"/>
      <c r="H53" s="48"/>
      <c r="I53" s="48"/>
      <c r="J53" s="48"/>
      <c r="K53" s="48"/>
      <c r="L53" s="48"/>
      <c r="M53" s="48"/>
      <c r="N53" s="48"/>
      <c r="O53" s="48"/>
      <c r="P53" s="48"/>
      <c r="Q53" s="48"/>
      <c r="R53" s="48"/>
      <c r="S53" s="44"/>
      <c r="T53" s="682">
        <f>IFERROR(T51/T52,0)</f>
        <v>0</v>
      </c>
      <c r="U53" s="683"/>
      <c r="W53" s="698">
        <f>IF(W48="NON CONCERNÉE",IF(T53&gt;=0.1,7,IF(T53&gt;=0.09,6,IF(T53&gt;=0.08,5,IF(T53&gt;=0.07,4,IF(T53&gt;=0.06,3,IF(T53&gt;=0.05,2,IF(T53&gt;=0.04,1,0))))))),IF(T48&gt;0.04,IF(T53&gt;=0.1,7,IF(T53&gt;=0.09,6,IF(T53&gt;=0.08,5,IF(T53&gt;=0.07,4,IF(T53&gt;=0.06,3,IF(T53&gt;=0.05,2,IF(T53&gt;=0.04,1,0))))))),0))</f>
        <v>0</v>
      </c>
      <c r="X53" s="699"/>
      <c r="AA53" s="20"/>
      <c r="AB53" s="19"/>
    </row>
    <row r="54" spans="2:28" x14ac:dyDescent="0.3">
      <c r="B54" s="19"/>
      <c r="E54" s="65"/>
      <c r="T54" s="137"/>
      <c r="U54" s="137"/>
      <c r="W54" s="336"/>
      <c r="X54" s="336"/>
      <c r="AA54" s="20"/>
      <c r="AB54" s="19"/>
    </row>
    <row r="55" spans="2:28" x14ac:dyDescent="0.3">
      <c r="B55" s="19"/>
      <c r="E55" s="42" t="s">
        <v>2294</v>
      </c>
      <c r="AA55" s="20"/>
      <c r="AB55" s="19"/>
    </row>
    <row r="56" spans="2:28" x14ac:dyDescent="0.3">
      <c r="B56" s="19"/>
      <c r="E56" s="104" t="s">
        <v>2295</v>
      </c>
      <c r="F56" s="47"/>
      <c r="G56" s="47"/>
      <c r="H56" s="47"/>
      <c r="I56" s="47"/>
      <c r="J56" s="47"/>
      <c r="K56" s="47"/>
      <c r="L56" s="47"/>
      <c r="M56" s="47"/>
      <c r="N56" s="47"/>
      <c r="O56" s="47"/>
      <c r="P56" s="47"/>
      <c r="Q56" s="47"/>
      <c r="R56" s="47"/>
      <c r="S56" s="43"/>
      <c r="T56" s="739" cm="1">
        <f t="array" ref="T56">SUM(IF(ISTEXT($AD$17:$AD$35),1/COUNTIF($AD$17:$AD$35,$AD$17:$AD$35),""))</f>
        <v>0</v>
      </c>
      <c r="U56" s="740"/>
      <c r="W56" s="698">
        <f>IFERROR(IF(AND(T48&lt;4%,W48="KO"),0,IF(T56&gt;=3,2,0)),"")</f>
        <v>0</v>
      </c>
      <c r="X56" s="699"/>
      <c r="AA56" s="20"/>
      <c r="AB56" s="19"/>
    </row>
    <row r="57" spans="2:28" x14ac:dyDescent="0.3">
      <c r="B57" s="19"/>
      <c r="X57" s="680" t="s">
        <v>3205</v>
      </c>
      <c r="Y57" s="680"/>
      <c r="Z57" s="680"/>
      <c r="AA57" s="681"/>
      <c r="AB57" s="19"/>
    </row>
    <row r="58" spans="2:28" x14ac:dyDescent="0.3">
      <c r="B58" s="19"/>
      <c r="E58" s="108" t="s">
        <v>2296</v>
      </c>
      <c r="F58" s="47"/>
      <c r="G58" s="47"/>
      <c r="H58" s="47"/>
      <c r="I58" s="47"/>
      <c r="J58" s="47"/>
      <c r="K58" s="47"/>
      <c r="L58" s="47"/>
      <c r="M58" s="47"/>
      <c r="N58" s="47"/>
      <c r="O58" s="47"/>
      <c r="P58" s="47"/>
      <c r="Q58" s="47"/>
      <c r="R58" s="47"/>
      <c r="S58" s="47"/>
      <c r="T58" s="47"/>
      <c r="U58" s="47"/>
      <c r="W58" s="698">
        <f>W53+W56</f>
        <v>0</v>
      </c>
      <c r="X58" s="699"/>
      <c r="Y58" s="686">
        <v>9</v>
      </c>
      <c r="Z58" s="687"/>
      <c r="AA58" s="20"/>
      <c r="AB58" s="19"/>
    </row>
    <row r="59" spans="2:28" x14ac:dyDescent="0.3">
      <c r="B59" s="19"/>
      <c r="AA59" s="20"/>
      <c r="AB59" s="19"/>
    </row>
    <row r="60" spans="2:28" x14ac:dyDescent="0.3">
      <c r="B60" s="19"/>
      <c r="E60" s="104" t="s">
        <v>708</v>
      </c>
      <c r="F60" s="47"/>
      <c r="G60" s="47"/>
      <c r="H60" s="47"/>
      <c r="I60" s="47"/>
      <c r="J60" s="47"/>
      <c r="K60" s="47"/>
      <c r="L60" s="47"/>
      <c r="M60" s="47"/>
      <c r="N60" s="47"/>
      <c r="O60" s="47"/>
      <c r="P60" s="47"/>
      <c r="Q60" s="47"/>
      <c r="R60" s="47"/>
      <c r="S60" s="43"/>
      <c r="T60" s="747"/>
      <c r="U60" s="748"/>
      <c r="AA60" s="20"/>
      <c r="AB60" s="19"/>
    </row>
    <row r="61" spans="2:28" x14ac:dyDescent="0.3">
      <c r="B61" s="19"/>
      <c r="AA61" s="20"/>
      <c r="AB61" s="19"/>
    </row>
    <row r="62" spans="2:28" x14ac:dyDescent="0.3">
      <c r="B62" s="19"/>
      <c r="E62" s="70" t="s">
        <v>2472</v>
      </c>
      <c r="AA62" s="20"/>
      <c r="AB62" s="19"/>
    </row>
    <row r="63" spans="2:28" x14ac:dyDescent="0.3">
      <c r="B63" s="19"/>
      <c r="E63" s="652"/>
      <c r="F63" s="653"/>
      <c r="G63" s="653"/>
      <c r="H63" s="653"/>
      <c r="I63" s="653"/>
      <c r="J63" s="653"/>
      <c r="K63" s="653"/>
      <c r="L63" s="653"/>
      <c r="M63" s="653"/>
      <c r="N63" s="653"/>
      <c r="O63" s="653"/>
      <c r="P63" s="653"/>
      <c r="Q63" s="653"/>
      <c r="R63" s="653"/>
      <c r="S63" s="653"/>
      <c r="T63" s="653"/>
      <c r="U63" s="653"/>
      <c r="V63" s="653"/>
      <c r="W63" s="653"/>
      <c r="X63" s="653"/>
      <c r="Y63" s="654"/>
      <c r="AA63" s="20"/>
      <c r="AB63" s="19"/>
    </row>
    <row r="64" spans="2:28" x14ac:dyDescent="0.3">
      <c r="B64" s="19"/>
      <c r="E64" s="655"/>
      <c r="F64" s="656"/>
      <c r="G64" s="656"/>
      <c r="H64" s="656"/>
      <c r="I64" s="656"/>
      <c r="J64" s="656"/>
      <c r="K64" s="656"/>
      <c r="L64" s="656"/>
      <c r="M64" s="656"/>
      <c r="N64" s="656"/>
      <c r="O64" s="656"/>
      <c r="P64" s="656"/>
      <c r="Q64" s="656"/>
      <c r="R64" s="656"/>
      <c r="S64" s="656"/>
      <c r="T64" s="656"/>
      <c r="U64" s="656"/>
      <c r="V64" s="656"/>
      <c r="W64" s="656"/>
      <c r="X64" s="656"/>
      <c r="Y64" s="657"/>
      <c r="AA64" s="20"/>
      <c r="AB64" s="19"/>
    </row>
    <row r="65" spans="2:28" x14ac:dyDescent="0.3">
      <c r="B65" s="19"/>
      <c r="E65" s="655"/>
      <c r="F65" s="656"/>
      <c r="G65" s="656"/>
      <c r="H65" s="656"/>
      <c r="I65" s="656"/>
      <c r="J65" s="656"/>
      <c r="K65" s="656"/>
      <c r="L65" s="656"/>
      <c r="M65" s="656"/>
      <c r="N65" s="656"/>
      <c r="O65" s="656"/>
      <c r="P65" s="656"/>
      <c r="Q65" s="656"/>
      <c r="R65" s="656"/>
      <c r="S65" s="656"/>
      <c r="T65" s="656"/>
      <c r="U65" s="656"/>
      <c r="V65" s="656"/>
      <c r="W65" s="656"/>
      <c r="X65" s="656"/>
      <c r="Y65" s="657"/>
      <c r="AA65" s="20"/>
      <c r="AB65" s="19"/>
    </row>
    <row r="66" spans="2:28" x14ac:dyDescent="0.3">
      <c r="B66" s="19"/>
      <c r="E66" s="655"/>
      <c r="F66" s="656"/>
      <c r="G66" s="656"/>
      <c r="H66" s="656"/>
      <c r="I66" s="656"/>
      <c r="J66" s="656"/>
      <c r="K66" s="656"/>
      <c r="L66" s="656"/>
      <c r="M66" s="656"/>
      <c r="N66" s="656"/>
      <c r="O66" s="656"/>
      <c r="P66" s="656"/>
      <c r="Q66" s="656"/>
      <c r="R66" s="656"/>
      <c r="S66" s="656"/>
      <c r="T66" s="656"/>
      <c r="U66" s="656"/>
      <c r="V66" s="656"/>
      <c r="W66" s="656"/>
      <c r="X66" s="656"/>
      <c r="Y66" s="657"/>
      <c r="AA66" s="20"/>
      <c r="AB66" s="19"/>
    </row>
    <row r="67" spans="2:28" x14ac:dyDescent="0.3">
      <c r="B67" s="19"/>
      <c r="E67" s="655"/>
      <c r="F67" s="656"/>
      <c r="G67" s="656"/>
      <c r="H67" s="656"/>
      <c r="I67" s="656"/>
      <c r="J67" s="656"/>
      <c r="K67" s="656"/>
      <c r="L67" s="656"/>
      <c r="M67" s="656"/>
      <c r="N67" s="656"/>
      <c r="O67" s="656"/>
      <c r="P67" s="656"/>
      <c r="Q67" s="656"/>
      <c r="R67" s="656"/>
      <c r="S67" s="656"/>
      <c r="T67" s="656"/>
      <c r="U67" s="656"/>
      <c r="V67" s="656"/>
      <c r="W67" s="656"/>
      <c r="X67" s="656"/>
      <c r="Y67" s="657"/>
      <c r="AA67" s="20"/>
      <c r="AB67" s="19"/>
    </row>
    <row r="68" spans="2:28" x14ac:dyDescent="0.3">
      <c r="B68" s="19"/>
      <c r="E68" s="655"/>
      <c r="F68" s="656"/>
      <c r="G68" s="656"/>
      <c r="H68" s="656"/>
      <c r="I68" s="656"/>
      <c r="J68" s="656"/>
      <c r="K68" s="656"/>
      <c r="L68" s="656"/>
      <c r="M68" s="656"/>
      <c r="N68" s="656"/>
      <c r="O68" s="656"/>
      <c r="P68" s="656"/>
      <c r="Q68" s="656"/>
      <c r="R68" s="656"/>
      <c r="S68" s="656"/>
      <c r="T68" s="656"/>
      <c r="U68" s="656"/>
      <c r="V68" s="656"/>
      <c r="W68" s="656"/>
      <c r="X68" s="656"/>
      <c r="Y68" s="657"/>
      <c r="AA68" s="20"/>
      <c r="AB68" s="19"/>
    </row>
    <row r="69" spans="2:28" x14ac:dyDescent="0.3">
      <c r="B69" s="19"/>
      <c r="E69" s="655"/>
      <c r="F69" s="656"/>
      <c r="G69" s="656"/>
      <c r="H69" s="656"/>
      <c r="I69" s="656"/>
      <c r="J69" s="656"/>
      <c r="K69" s="656"/>
      <c r="L69" s="656"/>
      <c r="M69" s="656"/>
      <c r="N69" s="656"/>
      <c r="O69" s="656"/>
      <c r="P69" s="656"/>
      <c r="Q69" s="656"/>
      <c r="R69" s="656"/>
      <c r="S69" s="656"/>
      <c r="T69" s="656"/>
      <c r="U69" s="656"/>
      <c r="V69" s="656"/>
      <c r="W69" s="656"/>
      <c r="X69" s="656"/>
      <c r="Y69" s="657"/>
      <c r="AA69" s="20"/>
      <c r="AB69" s="19"/>
    </row>
    <row r="70" spans="2:28" x14ac:dyDescent="0.3">
      <c r="B70" s="19"/>
      <c r="E70" s="655"/>
      <c r="F70" s="656"/>
      <c r="G70" s="656"/>
      <c r="H70" s="656"/>
      <c r="I70" s="656"/>
      <c r="J70" s="656"/>
      <c r="K70" s="656"/>
      <c r="L70" s="656"/>
      <c r="M70" s="656"/>
      <c r="N70" s="656"/>
      <c r="O70" s="656"/>
      <c r="P70" s="656"/>
      <c r="Q70" s="656"/>
      <c r="R70" s="656"/>
      <c r="S70" s="656"/>
      <c r="T70" s="656"/>
      <c r="U70" s="656"/>
      <c r="V70" s="656"/>
      <c r="W70" s="656"/>
      <c r="X70" s="656"/>
      <c r="Y70" s="657"/>
      <c r="AA70" s="20"/>
      <c r="AB70" s="19"/>
    </row>
    <row r="71" spans="2:28" x14ac:dyDescent="0.3">
      <c r="B71" s="19"/>
      <c r="E71" s="655"/>
      <c r="F71" s="656"/>
      <c r="G71" s="656"/>
      <c r="H71" s="656"/>
      <c r="I71" s="656"/>
      <c r="J71" s="656"/>
      <c r="K71" s="656"/>
      <c r="L71" s="656"/>
      <c r="M71" s="656"/>
      <c r="N71" s="656"/>
      <c r="O71" s="656"/>
      <c r="P71" s="656"/>
      <c r="Q71" s="656"/>
      <c r="R71" s="656"/>
      <c r="S71" s="656"/>
      <c r="T71" s="656"/>
      <c r="U71" s="656"/>
      <c r="V71" s="656"/>
      <c r="W71" s="656"/>
      <c r="X71" s="656"/>
      <c r="Y71" s="657"/>
      <c r="AA71" s="20"/>
      <c r="AB71" s="19"/>
    </row>
    <row r="72" spans="2:28" x14ac:dyDescent="0.3">
      <c r="B72" s="19"/>
      <c r="E72" s="658"/>
      <c r="F72" s="659"/>
      <c r="G72" s="659"/>
      <c r="H72" s="659"/>
      <c r="I72" s="659"/>
      <c r="J72" s="659"/>
      <c r="K72" s="659"/>
      <c r="L72" s="659"/>
      <c r="M72" s="659"/>
      <c r="N72" s="659"/>
      <c r="O72" s="659"/>
      <c r="P72" s="659"/>
      <c r="Q72" s="659"/>
      <c r="R72" s="659"/>
      <c r="S72" s="659"/>
      <c r="T72" s="659"/>
      <c r="U72" s="659"/>
      <c r="V72" s="659"/>
      <c r="W72" s="659"/>
      <c r="X72" s="659"/>
      <c r="Y72" s="660"/>
      <c r="AA72" s="20"/>
      <c r="AB72" s="19"/>
    </row>
    <row r="73" spans="2:28" x14ac:dyDescent="0.3">
      <c r="B73" s="19"/>
      <c r="AA73" s="20"/>
      <c r="AB73" s="19"/>
    </row>
    <row r="74" spans="2:28" ht="15" thickBot="1" x14ac:dyDescent="0.35">
      <c r="B74" s="22"/>
      <c r="C74" s="23"/>
      <c r="D74" s="23"/>
      <c r="E74" s="23"/>
      <c r="F74" s="23"/>
      <c r="G74" s="23"/>
      <c r="H74" s="23"/>
      <c r="I74" s="23"/>
      <c r="J74" s="23"/>
      <c r="K74" s="23"/>
      <c r="L74" s="23"/>
      <c r="M74" s="23"/>
      <c r="N74" s="23"/>
      <c r="O74" s="23"/>
      <c r="P74" s="23"/>
      <c r="Q74" s="23"/>
      <c r="R74" s="23"/>
      <c r="S74" s="23"/>
      <c r="T74" s="23"/>
      <c r="U74" s="23"/>
      <c r="V74" s="23"/>
      <c r="W74" s="23"/>
      <c r="X74" s="23"/>
      <c r="Y74" s="23"/>
      <c r="Z74" s="23"/>
      <c r="AA74" s="24"/>
      <c r="AB74" s="19"/>
    </row>
    <row r="78" spans="2:28" ht="15" thickBot="1" x14ac:dyDescent="0.35"/>
    <row r="79" spans="2:28" x14ac:dyDescent="0.3">
      <c r="B79" s="79"/>
      <c r="C79" s="80"/>
      <c r="D79" s="80"/>
      <c r="E79" s="80"/>
      <c r="F79" s="80"/>
      <c r="G79" s="80"/>
      <c r="H79" s="80"/>
      <c r="I79" s="80"/>
      <c r="J79" s="80"/>
      <c r="K79" s="80"/>
      <c r="L79" s="80"/>
      <c r="M79" s="80"/>
      <c r="N79" s="80"/>
      <c r="O79" s="80"/>
      <c r="P79" s="80"/>
      <c r="Q79" s="80"/>
      <c r="R79" s="80"/>
      <c r="S79" s="80"/>
      <c r="T79" s="80"/>
      <c r="U79" s="80"/>
      <c r="V79" s="80"/>
      <c r="W79" s="80"/>
      <c r="X79" s="80"/>
      <c r="Y79" s="80"/>
      <c r="Z79" s="80"/>
      <c r="AA79" s="81"/>
    </row>
    <row r="80" spans="2:28" x14ac:dyDescent="0.3">
      <c r="B80" s="82"/>
      <c r="S80" s="678"/>
      <c r="T80" s="678"/>
      <c r="AA80" s="51"/>
    </row>
    <row r="81" spans="2:31" x14ac:dyDescent="0.3">
      <c r="B81" s="82"/>
      <c r="C81" s="42"/>
      <c r="AA81" s="51"/>
    </row>
    <row r="82" spans="2:31" x14ac:dyDescent="0.3">
      <c r="B82" s="82"/>
      <c r="E82" s="104" t="s">
        <v>2297</v>
      </c>
      <c r="F82" s="47"/>
      <c r="G82" s="47"/>
      <c r="H82" s="47"/>
      <c r="I82" s="47"/>
      <c r="J82" s="47"/>
      <c r="K82" s="373"/>
      <c r="L82" s="47"/>
      <c r="M82" s="47"/>
      <c r="N82" s="47"/>
      <c r="O82" s="43"/>
      <c r="P82" s="756"/>
      <c r="Q82" s="757"/>
      <c r="S82" s="473" t="str">
        <f>IF(P82&gt;(Surfaces!O25-(SUM(Surfaces!O120:O122))),"Attention : surface saisie &gt; SAU hors prairies permanentes","")</f>
        <v/>
      </c>
      <c r="AA82" s="51"/>
    </row>
    <row r="83" spans="2:31" x14ac:dyDescent="0.3">
      <c r="B83" s="82"/>
      <c r="E83" s="106" t="s">
        <v>451</v>
      </c>
      <c r="F83" s="48"/>
      <c r="G83" s="48"/>
      <c r="H83" s="48"/>
      <c r="I83" s="47"/>
      <c r="J83" s="47"/>
      <c r="K83" s="373"/>
      <c r="L83" s="47"/>
      <c r="M83" s="47"/>
      <c r="N83" s="47"/>
      <c r="O83" s="43"/>
      <c r="P83" s="758">
        <f>SUM(Surfaces!O120:O122)</f>
        <v>0</v>
      </c>
      <c r="Q83" s="759"/>
      <c r="S83" s="275"/>
      <c r="AA83" s="51"/>
    </row>
    <row r="84" spans="2:31" x14ac:dyDescent="0.3">
      <c r="B84" s="82"/>
      <c r="E84" s="104" t="s">
        <v>709</v>
      </c>
      <c r="F84" s="47"/>
      <c r="G84" s="47"/>
      <c r="H84" s="47"/>
      <c r="I84" s="47"/>
      <c r="J84" s="47"/>
      <c r="K84" s="47"/>
      <c r="L84" s="47"/>
      <c r="M84" s="47"/>
      <c r="N84" s="47"/>
      <c r="O84" s="43"/>
      <c r="P84" s="728">
        <f>Surfaces!O25</f>
        <v>0</v>
      </c>
      <c r="Q84" s="729"/>
      <c r="S84" s="678" t="s">
        <v>3204</v>
      </c>
      <c r="T84" s="678"/>
      <c r="U84" s="678" t="s">
        <v>3207</v>
      </c>
      <c r="V84" s="678"/>
      <c r="W84" s="678"/>
      <c r="X84" s="678"/>
      <c r="Y84" s="678"/>
      <c r="AA84" s="51"/>
    </row>
    <row r="85" spans="2:31" x14ac:dyDescent="0.3">
      <c r="B85" s="82"/>
      <c r="E85" s="106" t="s">
        <v>247</v>
      </c>
      <c r="F85" s="48"/>
      <c r="G85" s="48"/>
      <c r="H85" s="48"/>
      <c r="I85" s="48"/>
      <c r="J85" s="48"/>
      <c r="K85" s="163"/>
      <c r="L85" s="48"/>
      <c r="M85" s="48"/>
      <c r="N85" s="48"/>
      <c r="O85" s="44"/>
      <c r="P85" s="682">
        <f>IFERROR((P82+P83)/P84,0)</f>
        <v>0</v>
      </c>
      <c r="Q85" s="683"/>
      <c r="S85" s="698">
        <f>IF(P85&gt;=0.8,5,IF(P85&gt;=0.7,4,IF(P85&gt;=0.6,3,IF(P85&gt;=0.5,2,IF(P85&gt;=0.4,1,0)))))</f>
        <v>0</v>
      </c>
      <c r="T85" s="699"/>
      <c r="W85" s="686">
        <v>5</v>
      </c>
      <c r="X85" s="687"/>
      <c r="AA85" s="51"/>
      <c r="AE85">
        <f>MIN(ROUNDUP(MAX(P85-40%,0)/10%,0),5)</f>
        <v>0</v>
      </c>
    </row>
    <row r="86" spans="2:31" x14ac:dyDescent="0.3">
      <c r="B86" s="82"/>
      <c r="AA86" s="51"/>
    </row>
    <row r="87" spans="2:31" x14ac:dyDescent="0.3">
      <c r="B87" s="82"/>
      <c r="E87" s="70" t="s">
        <v>2472</v>
      </c>
      <c r="AA87" s="51"/>
    </row>
    <row r="88" spans="2:31" x14ac:dyDescent="0.3">
      <c r="B88" s="82"/>
      <c r="E88" s="652"/>
      <c r="F88" s="653"/>
      <c r="G88" s="653"/>
      <c r="H88" s="653"/>
      <c r="I88" s="653"/>
      <c r="J88" s="653"/>
      <c r="K88" s="653"/>
      <c r="L88" s="653"/>
      <c r="M88" s="653"/>
      <c r="N88" s="653"/>
      <c r="O88" s="653"/>
      <c r="P88" s="653"/>
      <c r="Q88" s="653"/>
      <c r="R88" s="653"/>
      <c r="S88" s="653"/>
      <c r="T88" s="653"/>
      <c r="U88" s="653"/>
      <c r="V88" s="653"/>
      <c r="W88" s="653"/>
      <c r="X88" s="653"/>
      <c r="Y88" s="654"/>
      <c r="AA88" s="51"/>
    </row>
    <row r="89" spans="2:31" x14ac:dyDescent="0.3">
      <c r="B89" s="82"/>
      <c r="E89" s="655"/>
      <c r="F89" s="656"/>
      <c r="G89" s="656"/>
      <c r="H89" s="656"/>
      <c r="I89" s="656"/>
      <c r="J89" s="656"/>
      <c r="K89" s="656"/>
      <c r="L89" s="656"/>
      <c r="M89" s="656"/>
      <c r="N89" s="656"/>
      <c r="O89" s="656"/>
      <c r="P89" s="656"/>
      <c r="Q89" s="656"/>
      <c r="R89" s="656"/>
      <c r="S89" s="656"/>
      <c r="T89" s="656"/>
      <c r="U89" s="656"/>
      <c r="V89" s="656"/>
      <c r="W89" s="656"/>
      <c r="X89" s="656"/>
      <c r="Y89" s="657"/>
      <c r="AA89" s="51"/>
    </row>
    <row r="90" spans="2:31" x14ac:dyDescent="0.3">
      <c r="B90" s="82"/>
      <c r="E90" s="655"/>
      <c r="F90" s="656"/>
      <c r="G90" s="656"/>
      <c r="H90" s="656"/>
      <c r="I90" s="656"/>
      <c r="J90" s="656"/>
      <c r="K90" s="656"/>
      <c r="L90" s="656"/>
      <c r="M90" s="656"/>
      <c r="N90" s="656"/>
      <c r="O90" s="656"/>
      <c r="P90" s="656"/>
      <c r="Q90" s="656"/>
      <c r="R90" s="656"/>
      <c r="S90" s="656"/>
      <c r="T90" s="656"/>
      <c r="U90" s="656"/>
      <c r="V90" s="656"/>
      <c r="W90" s="656"/>
      <c r="X90" s="656"/>
      <c r="Y90" s="657"/>
      <c r="AA90" s="51"/>
    </row>
    <row r="91" spans="2:31" x14ac:dyDescent="0.3">
      <c r="B91" s="82"/>
      <c r="E91" s="655"/>
      <c r="F91" s="656"/>
      <c r="G91" s="656"/>
      <c r="H91" s="656"/>
      <c r="I91" s="656"/>
      <c r="J91" s="656"/>
      <c r="K91" s="656"/>
      <c r="L91" s="656"/>
      <c r="M91" s="656"/>
      <c r="N91" s="656"/>
      <c r="O91" s="656"/>
      <c r="P91" s="656"/>
      <c r="Q91" s="656"/>
      <c r="R91" s="656"/>
      <c r="S91" s="656"/>
      <c r="T91" s="656"/>
      <c r="U91" s="656"/>
      <c r="V91" s="656"/>
      <c r="W91" s="656"/>
      <c r="X91" s="656"/>
      <c r="Y91" s="657"/>
      <c r="AA91" s="51"/>
    </row>
    <row r="92" spans="2:31" x14ac:dyDescent="0.3">
      <c r="B92" s="82"/>
      <c r="E92" s="658"/>
      <c r="F92" s="659"/>
      <c r="G92" s="659"/>
      <c r="H92" s="659"/>
      <c r="I92" s="659"/>
      <c r="J92" s="659"/>
      <c r="K92" s="659"/>
      <c r="L92" s="659"/>
      <c r="M92" s="659"/>
      <c r="N92" s="659"/>
      <c r="O92" s="659"/>
      <c r="P92" s="659"/>
      <c r="Q92" s="659"/>
      <c r="R92" s="659"/>
      <c r="S92" s="659"/>
      <c r="T92" s="659"/>
      <c r="U92" s="659"/>
      <c r="V92" s="659"/>
      <c r="W92" s="659"/>
      <c r="X92" s="659"/>
      <c r="Y92" s="660"/>
      <c r="AA92" s="51"/>
    </row>
    <row r="93" spans="2:31" x14ac:dyDescent="0.3">
      <c r="B93" s="82"/>
      <c r="AA93" s="51"/>
    </row>
    <row r="94" spans="2:31" ht="15" thickBot="1" x14ac:dyDescent="0.35">
      <c r="B94" s="83"/>
      <c r="C94" s="84"/>
      <c r="D94" s="84"/>
      <c r="E94" s="84"/>
      <c r="F94" s="84"/>
      <c r="G94" s="84"/>
      <c r="H94" s="84"/>
      <c r="I94" s="84"/>
      <c r="J94" s="84"/>
      <c r="K94" s="84"/>
      <c r="L94" s="84"/>
      <c r="M94" s="84"/>
      <c r="N94" s="84"/>
      <c r="O94" s="84"/>
      <c r="P94" s="84"/>
      <c r="Q94" s="84"/>
      <c r="R94" s="84"/>
      <c r="S94" s="84"/>
      <c r="T94" s="84"/>
      <c r="U94" s="84"/>
      <c r="V94" s="84"/>
      <c r="W94" s="84"/>
      <c r="X94" s="84"/>
      <c r="Y94" s="84"/>
      <c r="Z94" s="84"/>
      <c r="AA94" s="50"/>
    </row>
    <row r="97" spans="2:27" ht="15" thickBot="1" x14ac:dyDescent="0.35"/>
    <row r="98" spans="2:27" x14ac:dyDescent="0.3">
      <c r="B98" s="16"/>
      <c r="C98" s="17"/>
      <c r="D98" s="17"/>
      <c r="E98" s="17"/>
      <c r="F98" s="17"/>
      <c r="G98" s="17"/>
      <c r="H98" s="17"/>
      <c r="I98" s="17"/>
      <c r="J98" s="17"/>
      <c r="K98" s="17"/>
      <c r="L98" s="17"/>
      <c r="M98" s="17"/>
      <c r="N98" s="17"/>
      <c r="O98" s="17"/>
      <c r="P98" s="17"/>
      <c r="Q98" s="17"/>
      <c r="R98" s="17"/>
      <c r="S98" s="17"/>
      <c r="T98" s="17"/>
      <c r="U98" s="17"/>
      <c r="V98" s="17"/>
      <c r="W98" s="17"/>
      <c r="X98" s="17"/>
      <c r="Y98" s="17"/>
      <c r="Z98" s="17"/>
      <c r="AA98" s="18"/>
    </row>
    <row r="99" spans="2:27" x14ac:dyDescent="0.3">
      <c r="B99" s="19"/>
      <c r="AA99" s="20"/>
    </row>
    <row r="100" spans="2:27" x14ac:dyDescent="0.3">
      <c r="B100" s="19"/>
      <c r="C100" t="s">
        <v>2298</v>
      </c>
      <c r="AA100" s="20"/>
    </row>
    <row r="101" spans="2:27" x14ac:dyDescent="0.3">
      <c r="B101" s="19"/>
      <c r="D101" s="21" t="s">
        <v>2299</v>
      </c>
      <c r="AA101" s="20"/>
    </row>
    <row r="102" spans="2:27" x14ac:dyDescent="0.3">
      <c r="B102" s="19"/>
      <c r="D102" s="21" t="s">
        <v>2300</v>
      </c>
      <c r="AA102" s="20"/>
    </row>
    <row r="103" spans="2:27" x14ac:dyDescent="0.3">
      <c r="B103" s="19"/>
      <c r="AA103" s="20"/>
    </row>
    <row r="104" spans="2:27" x14ac:dyDescent="0.3">
      <c r="B104" s="19"/>
      <c r="C104" s="751" t="s">
        <v>571</v>
      </c>
      <c r="D104" s="751"/>
      <c r="E104" s="751"/>
      <c r="F104" s="751"/>
      <c r="G104" s="751"/>
      <c r="H104" s="751"/>
      <c r="I104" s="751"/>
      <c r="J104" s="751"/>
      <c r="K104" s="751"/>
      <c r="L104" s="751"/>
      <c r="M104" s="752"/>
      <c r="N104" s="704"/>
      <c r="O104" s="755"/>
      <c r="P104" s="755"/>
      <c r="Q104" s="755"/>
      <c r="R104" s="705"/>
      <c r="AA104" s="20"/>
    </row>
    <row r="105" spans="2:27" x14ac:dyDescent="0.3">
      <c r="B105" s="19"/>
      <c r="C105" s="743" t="s">
        <v>249</v>
      </c>
      <c r="D105" s="743"/>
      <c r="E105" s="743"/>
      <c r="F105" s="743"/>
      <c r="G105" s="743"/>
      <c r="H105" s="743"/>
      <c r="I105" s="743"/>
      <c r="J105" s="743"/>
      <c r="K105" s="743"/>
      <c r="L105" s="743"/>
      <c r="M105" s="744"/>
      <c r="N105" s="756"/>
      <c r="O105" s="757"/>
      <c r="P105" s="65" t="s">
        <v>248</v>
      </c>
      <c r="Q105" s="65"/>
      <c r="R105" s="65"/>
      <c r="AA105" s="20"/>
    </row>
    <row r="106" spans="2:27" x14ac:dyDescent="0.3">
      <c r="B106" s="19"/>
      <c r="AA106" s="20"/>
    </row>
    <row r="107" spans="2:27" x14ac:dyDescent="0.3">
      <c r="B107" s="19"/>
      <c r="AA107" s="20"/>
    </row>
    <row r="108" spans="2:27" x14ac:dyDescent="0.3">
      <c r="B108" s="19"/>
      <c r="AA108" s="20"/>
    </row>
    <row r="109" spans="2:27" x14ac:dyDescent="0.3">
      <c r="B109" s="19"/>
      <c r="C109" s="42"/>
      <c r="E109" s="690" t="s">
        <v>2301</v>
      </c>
      <c r="F109" s="690"/>
      <c r="G109" s="690"/>
      <c r="H109" s="690"/>
      <c r="I109" s="690"/>
      <c r="J109" s="690"/>
      <c r="K109" s="690"/>
      <c r="L109" s="690"/>
      <c r="M109" s="691"/>
      <c r="N109" s="700">
        <f>IFERROR(SUM(Surfaces!O120:O122)/Surfaces!O25,0)</f>
        <v>0</v>
      </c>
      <c r="O109" s="701"/>
      <c r="Q109" s="678"/>
      <c r="R109" s="678"/>
      <c r="AA109" s="20"/>
    </row>
    <row r="110" spans="2:27" x14ac:dyDescent="0.3">
      <c r="B110" s="19"/>
      <c r="E110" s="690" t="s">
        <v>250</v>
      </c>
      <c r="F110" s="690"/>
      <c r="G110" s="690"/>
      <c r="H110" s="690"/>
      <c r="I110" s="690"/>
      <c r="J110" s="690"/>
      <c r="K110" s="690"/>
      <c r="L110" s="690"/>
      <c r="M110" s="691"/>
      <c r="N110" s="706">
        <f>SURFACE_CULTURE_PRINCIPALE</f>
        <v>0</v>
      </c>
      <c r="O110" s="707"/>
      <c r="AA110" s="20"/>
    </row>
    <row r="111" spans="2:27" x14ac:dyDescent="0.3">
      <c r="B111" s="19"/>
      <c r="E111" s="749" t="s">
        <v>572</v>
      </c>
      <c r="F111" s="749"/>
      <c r="G111" s="749"/>
      <c r="H111" s="749"/>
      <c r="I111" s="749"/>
      <c r="J111" s="749"/>
      <c r="K111" s="749"/>
      <c r="L111" s="749"/>
      <c r="M111" s="750"/>
      <c r="N111" s="706">
        <f>cSAU-Surfaces!O120-Surfaces!O121-Surfaces!O122</f>
        <v>0</v>
      </c>
      <c r="O111" s="707"/>
      <c r="Q111" s="678" t="s">
        <v>3204</v>
      </c>
      <c r="R111" s="678"/>
      <c r="U111" s="680" t="s">
        <v>3207</v>
      </c>
      <c r="V111" s="680"/>
      <c r="W111" s="680"/>
      <c r="X111" s="680"/>
      <c r="Y111" s="680"/>
      <c r="AA111" s="20"/>
    </row>
    <row r="112" spans="2:27" x14ac:dyDescent="0.3">
      <c r="B112" s="19"/>
      <c r="E112" s="749" t="s">
        <v>247</v>
      </c>
      <c r="F112" s="749"/>
      <c r="G112" s="749"/>
      <c r="H112" s="749"/>
      <c r="I112" s="749"/>
      <c r="J112" s="749"/>
      <c r="K112" s="749"/>
      <c r="L112" s="749"/>
      <c r="M112" s="750"/>
      <c r="N112" s="682">
        <f>IFERROR(N110/N111,0)</f>
        <v>0</v>
      </c>
      <c r="O112" s="683"/>
      <c r="Q112" s="688">
        <f>IF(Surfaces!O25=0,0,IF(N109=1,0,IF(N105&gt;0,IF(AND(N112&gt;0,N112&lt;0.2),5,IF(AND(N112&gt;=0.2,N112&lt;0.3),4,IF(AND(N112&gt;=0.3,N112&lt;0.4),3,IF(AND(N112&gt;=0.4,N112&lt;0.5),2,IF(AND(N112&gt;=0.5,N112&lt;0.6),1,0))))),0)))</f>
        <v>0</v>
      </c>
      <c r="R112" s="689"/>
      <c r="W112" s="686">
        <v>5</v>
      </c>
      <c r="X112" s="687"/>
      <c r="AA112" s="20"/>
    </row>
    <row r="113" spans="2:29" x14ac:dyDescent="0.3">
      <c r="B113" s="19"/>
      <c r="AA113" s="20"/>
    </row>
    <row r="114" spans="2:29" x14ac:dyDescent="0.3">
      <c r="B114" s="19"/>
      <c r="AA114" s="20"/>
    </row>
    <row r="115" spans="2:29" x14ac:dyDescent="0.3">
      <c r="B115" s="19"/>
      <c r="E115" s="70" t="s">
        <v>2472</v>
      </c>
      <c r="AA115" s="20"/>
    </row>
    <row r="116" spans="2:29" x14ac:dyDescent="0.3">
      <c r="B116" s="19"/>
      <c r="E116" s="652"/>
      <c r="F116" s="653"/>
      <c r="G116" s="653"/>
      <c r="H116" s="653"/>
      <c r="I116" s="653"/>
      <c r="J116" s="653"/>
      <c r="K116" s="653"/>
      <c r="L116" s="653"/>
      <c r="M116" s="653"/>
      <c r="N116" s="653"/>
      <c r="O116" s="653"/>
      <c r="P116" s="653"/>
      <c r="Q116" s="653"/>
      <c r="R116" s="653"/>
      <c r="S116" s="653"/>
      <c r="T116" s="653"/>
      <c r="U116" s="653"/>
      <c r="V116" s="653"/>
      <c r="W116" s="653"/>
      <c r="X116" s="653"/>
      <c r="Y116" s="654"/>
      <c r="AA116" s="20"/>
    </row>
    <row r="117" spans="2:29" x14ac:dyDescent="0.3">
      <c r="B117" s="19"/>
      <c r="E117" s="655"/>
      <c r="F117" s="656"/>
      <c r="G117" s="656"/>
      <c r="H117" s="656"/>
      <c r="I117" s="656"/>
      <c r="J117" s="656"/>
      <c r="K117" s="656"/>
      <c r="L117" s="656"/>
      <c r="M117" s="656"/>
      <c r="N117" s="656"/>
      <c r="O117" s="656"/>
      <c r="P117" s="656"/>
      <c r="Q117" s="656"/>
      <c r="R117" s="656"/>
      <c r="S117" s="656"/>
      <c r="T117" s="656"/>
      <c r="U117" s="656"/>
      <c r="V117" s="656"/>
      <c r="W117" s="656"/>
      <c r="X117" s="656"/>
      <c r="Y117" s="657"/>
      <c r="AA117" s="20"/>
    </row>
    <row r="118" spans="2:29" x14ac:dyDescent="0.3">
      <c r="B118" s="19"/>
      <c r="E118" s="655"/>
      <c r="F118" s="656"/>
      <c r="G118" s="656"/>
      <c r="H118" s="656"/>
      <c r="I118" s="656"/>
      <c r="J118" s="656"/>
      <c r="K118" s="656"/>
      <c r="L118" s="656"/>
      <c r="M118" s="656"/>
      <c r="N118" s="656"/>
      <c r="O118" s="656"/>
      <c r="P118" s="656"/>
      <c r="Q118" s="656"/>
      <c r="R118" s="656"/>
      <c r="S118" s="656"/>
      <c r="T118" s="656"/>
      <c r="U118" s="656"/>
      <c r="V118" s="656"/>
      <c r="W118" s="656"/>
      <c r="X118" s="656"/>
      <c r="Y118" s="657"/>
      <c r="AA118" s="20"/>
    </row>
    <row r="119" spans="2:29" x14ac:dyDescent="0.3">
      <c r="B119" s="19"/>
      <c r="E119" s="655"/>
      <c r="F119" s="656"/>
      <c r="G119" s="656"/>
      <c r="H119" s="656"/>
      <c r="I119" s="656"/>
      <c r="J119" s="656"/>
      <c r="K119" s="656"/>
      <c r="L119" s="656"/>
      <c r="M119" s="656"/>
      <c r="N119" s="656"/>
      <c r="O119" s="656"/>
      <c r="P119" s="656"/>
      <c r="Q119" s="656"/>
      <c r="R119" s="656"/>
      <c r="S119" s="656"/>
      <c r="T119" s="656"/>
      <c r="U119" s="656"/>
      <c r="V119" s="656"/>
      <c r="W119" s="656"/>
      <c r="X119" s="656"/>
      <c r="Y119" s="657"/>
      <c r="AA119" s="20"/>
    </row>
    <row r="120" spans="2:29" x14ac:dyDescent="0.3">
      <c r="B120" s="19"/>
      <c r="E120" s="658"/>
      <c r="F120" s="659"/>
      <c r="G120" s="659"/>
      <c r="H120" s="659"/>
      <c r="I120" s="659"/>
      <c r="J120" s="659"/>
      <c r="K120" s="659"/>
      <c r="L120" s="659"/>
      <c r="M120" s="659"/>
      <c r="N120" s="659"/>
      <c r="O120" s="659"/>
      <c r="P120" s="659"/>
      <c r="Q120" s="659"/>
      <c r="R120" s="659"/>
      <c r="S120" s="659"/>
      <c r="T120" s="659"/>
      <c r="U120" s="659"/>
      <c r="V120" s="659"/>
      <c r="W120" s="659"/>
      <c r="X120" s="659"/>
      <c r="Y120" s="660"/>
      <c r="AA120" s="20"/>
    </row>
    <row r="121" spans="2:29" x14ac:dyDescent="0.3">
      <c r="B121" s="19"/>
      <c r="AA121" s="20"/>
    </row>
    <row r="122" spans="2:29" ht="15" thickBot="1" x14ac:dyDescent="0.35">
      <c r="B122" s="22"/>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4"/>
    </row>
    <row r="125" spans="2:29" ht="15" thickBot="1" x14ac:dyDescent="0.35"/>
    <row r="126" spans="2:29" x14ac:dyDescent="0.3">
      <c r="B126" s="16"/>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8"/>
    </row>
    <row r="127" spans="2:29" x14ac:dyDescent="0.3">
      <c r="B127" s="19"/>
      <c r="AA127" s="20"/>
    </row>
    <row r="128" spans="2:29" ht="15" customHeight="1" x14ac:dyDescent="0.3">
      <c r="B128" s="19"/>
      <c r="C128" s="70" t="s">
        <v>265</v>
      </c>
      <c r="I128" s="678" t="s">
        <v>253</v>
      </c>
      <c r="J128" s="678"/>
      <c r="K128" s="767" t="s">
        <v>573</v>
      </c>
      <c r="L128" s="767"/>
      <c r="M128" s="767"/>
      <c r="N128" s="767"/>
      <c r="O128" s="128"/>
      <c r="P128" s="128"/>
      <c r="Q128" s="128"/>
      <c r="R128" s="128"/>
      <c r="S128" s="128"/>
      <c r="T128" s="128"/>
      <c r="U128" s="128"/>
      <c r="V128" s="128"/>
      <c r="W128" s="128"/>
      <c r="X128" s="128"/>
      <c r="Y128" s="128"/>
      <c r="Z128" s="128"/>
      <c r="AA128" s="88"/>
      <c r="AB128" s="85"/>
      <c r="AC128" s="85"/>
    </row>
    <row r="129" spans="2:29" x14ac:dyDescent="0.3">
      <c r="B129" s="19"/>
      <c r="D129" s="47" t="s">
        <v>251</v>
      </c>
      <c r="E129" s="47"/>
      <c r="F129" s="47"/>
      <c r="G129" s="47"/>
      <c r="H129" s="43"/>
      <c r="I129" s="704"/>
      <c r="J129" s="705"/>
      <c r="K129" s="767"/>
      <c r="L129" s="767"/>
      <c r="M129" s="767"/>
      <c r="N129" s="767"/>
      <c r="O129" s="128"/>
      <c r="P129" s="128"/>
      <c r="Q129" s="128"/>
      <c r="R129" s="128"/>
      <c r="S129" s="128"/>
      <c r="T129" s="128"/>
      <c r="U129" s="128"/>
      <c r="V129" s="128"/>
      <c r="W129" s="128"/>
      <c r="X129" s="128"/>
      <c r="Y129" s="128"/>
      <c r="Z129" s="128"/>
      <c r="AA129" s="88"/>
      <c r="AB129" s="85"/>
      <c r="AC129" s="85"/>
    </row>
    <row r="130" spans="2:29" x14ac:dyDescent="0.3">
      <c r="B130" s="19"/>
      <c r="D130" s="48" t="s">
        <v>252</v>
      </c>
      <c r="E130" s="48"/>
      <c r="F130" s="48"/>
      <c r="G130" s="48"/>
      <c r="H130" s="44"/>
      <c r="I130" s="704"/>
      <c r="J130" s="705"/>
      <c r="L130" s="692">
        <f>SUM(I129:J130)</f>
        <v>0</v>
      </c>
      <c r="M130" s="693"/>
      <c r="N130" s="128"/>
      <c r="O130" s="128"/>
      <c r="P130" s="128"/>
      <c r="Q130" s="128"/>
      <c r="R130" s="128"/>
      <c r="S130" s="128"/>
      <c r="T130" s="128"/>
      <c r="U130" s="128"/>
      <c r="V130" s="128"/>
      <c r="W130" s="128"/>
      <c r="X130" s="128"/>
      <c r="Y130" s="128"/>
      <c r="Z130" s="128"/>
      <c r="AA130" s="88"/>
      <c r="AB130" s="85"/>
      <c r="AC130" s="85"/>
    </row>
    <row r="131" spans="2:29" x14ac:dyDescent="0.3">
      <c r="B131" s="19"/>
      <c r="I131" s="150"/>
      <c r="AA131" s="20"/>
    </row>
    <row r="132" spans="2:29" ht="15" customHeight="1" x14ac:dyDescent="0.3">
      <c r="B132" s="19"/>
      <c r="C132" s="70" t="s">
        <v>254</v>
      </c>
      <c r="AA132" s="20"/>
    </row>
    <row r="133" spans="2:29" x14ac:dyDescent="0.3">
      <c r="B133" s="19"/>
      <c r="D133" s="47" t="s">
        <v>255</v>
      </c>
      <c r="E133" s="47"/>
      <c r="F133" s="47"/>
      <c r="G133" s="47"/>
      <c r="H133" s="43"/>
      <c r="I133" s="704"/>
      <c r="J133" s="705"/>
      <c r="L133" s="692">
        <f>IFERROR(I133,0)</f>
        <v>0</v>
      </c>
      <c r="M133" s="693"/>
      <c r="O133" s="128"/>
      <c r="P133" s="85"/>
      <c r="Q133" s="85"/>
      <c r="R133" s="85"/>
      <c r="S133" s="85"/>
      <c r="T133" s="85"/>
      <c r="U133" s="85"/>
      <c r="V133" s="85"/>
      <c r="W133" s="85"/>
      <c r="X133" s="85"/>
      <c r="Y133" s="85"/>
      <c r="Z133" s="85"/>
      <c r="AA133" s="20"/>
    </row>
    <row r="134" spans="2:29" x14ac:dyDescent="0.3">
      <c r="B134" s="19"/>
      <c r="D134" s="48" t="s">
        <v>256</v>
      </c>
      <c r="E134" s="48"/>
      <c r="F134" s="48"/>
      <c r="G134" s="48"/>
      <c r="H134" s="44"/>
      <c r="I134" s="728">
        <f>Surfaces!O116</f>
        <v>0</v>
      </c>
      <c r="J134" s="729"/>
      <c r="L134" s="692">
        <f>IFERROR(IF(I134&gt;0,2,0),0)</f>
        <v>0</v>
      </c>
      <c r="M134" s="693"/>
      <c r="O134" s="85"/>
      <c r="P134" s="85"/>
      <c r="Q134" s="85"/>
      <c r="R134" s="85"/>
      <c r="S134" s="85"/>
      <c r="T134" s="85"/>
      <c r="U134" s="85"/>
      <c r="V134" s="85"/>
      <c r="W134" s="85"/>
      <c r="X134" s="85"/>
      <c r="Y134" s="85"/>
      <c r="Z134" s="85"/>
      <c r="AA134" s="20"/>
    </row>
    <row r="135" spans="2:29" x14ac:dyDescent="0.3">
      <c r="B135" s="19"/>
      <c r="D135" s="48" t="s">
        <v>257</v>
      </c>
      <c r="E135" s="48"/>
      <c r="F135" s="48"/>
      <c r="G135" s="48"/>
      <c r="H135" s="44"/>
      <c r="I135" s="728">
        <f>Surfaces!O118</f>
        <v>0</v>
      </c>
      <c r="J135" s="729"/>
      <c r="L135" s="692">
        <f>IFERROR(IF(I135&gt;0,2,0),0)</f>
        <v>0</v>
      </c>
      <c r="M135" s="693"/>
      <c r="O135" s="85"/>
      <c r="P135" s="85"/>
      <c r="Q135" s="85"/>
      <c r="R135" s="85"/>
      <c r="S135" s="85"/>
      <c r="T135" s="85"/>
      <c r="U135" s="85"/>
      <c r="V135" s="85"/>
      <c r="W135" s="85"/>
      <c r="X135" s="85"/>
      <c r="Y135" s="85"/>
      <c r="Z135" s="85"/>
      <c r="AA135" s="20"/>
    </row>
    <row r="136" spans="2:29" x14ac:dyDescent="0.3">
      <c r="B136" s="19"/>
      <c r="D136" s="714" t="s">
        <v>258</v>
      </c>
      <c r="E136" s="714"/>
      <c r="F136" s="714"/>
      <c r="G136" s="714"/>
      <c r="H136" s="715"/>
      <c r="I136" s="763">
        <f>Surfaces!O119</f>
        <v>0</v>
      </c>
      <c r="J136" s="764"/>
      <c r="K136" s="89"/>
      <c r="L136" s="768">
        <f>IFERROR(IF(I136&gt;0,3,0),0)</f>
        <v>0</v>
      </c>
      <c r="M136" s="769"/>
      <c r="O136" s="85"/>
      <c r="P136" s="85"/>
      <c r="Q136" s="85"/>
      <c r="R136" s="85"/>
      <c r="S136" s="85"/>
      <c r="T136" s="85"/>
      <c r="U136" s="85"/>
      <c r="V136" s="85"/>
      <c r="W136" s="85"/>
      <c r="X136" s="85"/>
      <c r="Y136" s="85"/>
      <c r="Z136" s="85"/>
      <c r="AA136" s="20"/>
    </row>
    <row r="137" spans="2:29" x14ac:dyDescent="0.3">
      <c r="B137" s="19"/>
      <c r="D137" s="714"/>
      <c r="E137" s="714"/>
      <c r="F137" s="714"/>
      <c r="G137" s="714"/>
      <c r="H137" s="715"/>
      <c r="I137" s="765"/>
      <c r="J137" s="766"/>
      <c r="K137" s="89"/>
      <c r="L137" s="770">
        <f>IFERROR(IF(I137&gt;0,2,0),0)</f>
        <v>0</v>
      </c>
      <c r="M137" s="771"/>
      <c r="O137" s="85"/>
      <c r="P137" s="85"/>
      <c r="Q137" s="85"/>
      <c r="R137" s="85"/>
      <c r="S137" s="85"/>
      <c r="T137" s="85"/>
      <c r="U137" s="85"/>
      <c r="V137" s="85"/>
      <c r="W137" s="85"/>
      <c r="X137" s="85"/>
      <c r="Y137" s="85"/>
      <c r="Z137" s="85"/>
      <c r="AA137" s="20"/>
    </row>
    <row r="138" spans="2:29" x14ac:dyDescent="0.3">
      <c r="B138" s="19"/>
      <c r="AA138" s="20"/>
    </row>
    <row r="139" spans="2:29" x14ac:dyDescent="0.3">
      <c r="B139" s="19"/>
      <c r="C139" s="70" t="s">
        <v>260</v>
      </c>
      <c r="AA139" s="20"/>
    </row>
    <row r="140" spans="2:29" x14ac:dyDescent="0.3">
      <c r="B140" s="19"/>
      <c r="C140" s="70"/>
      <c r="D140" s="47" t="s">
        <v>382</v>
      </c>
      <c r="E140" s="47"/>
      <c r="F140" s="47"/>
      <c r="G140" s="47"/>
      <c r="H140" s="43"/>
      <c r="I140" s="728">
        <f>Surfaces!O120+Surfaces!O121+Surfaces!O122</f>
        <v>0</v>
      </c>
      <c r="J140" s="729"/>
      <c r="AA140" s="20"/>
    </row>
    <row r="141" spans="2:29" x14ac:dyDescent="0.3">
      <c r="B141" s="19"/>
      <c r="D141" s="47" t="s">
        <v>259</v>
      </c>
      <c r="E141" s="47"/>
      <c r="F141" s="47"/>
      <c r="G141" s="47"/>
      <c r="H141" s="43"/>
      <c r="I141" s="682">
        <f>IFERROR(I140/Surfaces!O25,0)</f>
        <v>0</v>
      </c>
      <c r="J141" s="683"/>
      <c r="L141" s="692">
        <f>MIN(ROUNDUP(I141/10%,0),10)</f>
        <v>0</v>
      </c>
      <c r="M141" s="693"/>
      <c r="O141" s="21"/>
      <c r="AA141" s="20"/>
    </row>
    <row r="142" spans="2:29" x14ac:dyDescent="0.3">
      <c r="B142" s="19"/>
      <c r="AA142" s="20"/>
    </row>
    <row r="143" spans="2:29" x14ac:dyDescent="0.3">
      <c r="B143" s="19"/>
      <c r="C143" s="70" t="s">
        <v>261</v>
      </c>
      <c r="I143" s="678" t="s">
        <v>253</v>
      </c>
      <c r="J143" s="678"/>
      <c r="AA143" s="20"/>
    </row>
    <row r="144" spans="2:29" x14ac:dyDescent="0.3">
      <c r="B144" s="19"/>
      <c r="D144" s="47" t="s">
        <v>122</v>
      </c>
      <c r="E144" s="47"/>
      <c r="F144" s="47"/>
      <c r="G144" s="47"/>
      <c r="H144" s="43"/>
      <c r="I144" s="761">
        <f>IF(Surfaces!O142&gt;0,1,0)</f>
        <v>0</v>
      </c>
      <c r="J144" s="762"/>
      <c r="AA144" s="20"/>
    </row>
    <row r="145" spans="2:27" x14ac:dyDescent="0.3">
      <c r="B145" s="19"/>
      <c r="D145" s="47" t="s">
        <v>262</v>
      </c>
      <c r="E145" s="47"/>
      <c r="F145" s="47"/>
      <c r="G145" s="47"/>
      <c r="H145" s="43"/>
      <c r="I145" s="704"/>
      <c r="J145" s="705"/>
      <c r="AA145" s="20"/>
    </row>
    <row r="146" spans="2:27" x14ac:dyDescent="0.3">
      <c r="B146" s="19"/>
      <c r="D146" s="48" t="s">
        <v>263</v>
      </c>
      <c r="E146" s="48"/>
      <c r="F146" s="48"/>
      <c r="G146" s="48"/>
      <c r="H146" s="44"/>
      <c r="I146" s="704"/>
      <c r="J146" s="705"/>
      <c r="AA146" s="20"/>
    </row>
    <row r="147" spans="2:27" x14ac:dyDescent="0.3">
      <c r="B147" s="19"/>
      <c r="D147" s="48" t="s">
        <v>264</v>
      </c>
      <c r="E147" s="48"/>
      <c r="F147" s="48"/>
      <c r="G147" s="48"/>
      <c r="H147" s="44"/>
      <c r="I147" s="704"/>
      <c r="J147" s="705"/>
      <c r="AA147" s="20"/>
    </row>
    <row r="148" spans="2:27" x14ac:dyDescent="0.3">
      <c r="B148" s="19"/>
      <c r="D148" s="48" t="s">
        <v>121</v>
      </c>
      <c r="E148" s="48"/>
      <c r="F148" s="48"/>
      <c r="G148" s="48"/>
      <c r="H148" s="44"/>
      <c r="I148" s="704"/>
      <c r="J148" s="705"/>
      <c r="L148" s="730">
        <f>SUM(I144:J148)</f>
        <v>0</v>
      </c>
      <c r="M148" s="693"/>
      <c r="AA148" s="20"/>
    </row>
    <row r="149" spans="2:27" x14ac:dyDescent="0.3">
      <c r="B149" s="19"/>
      <c r="AA149" s="20"/>
    </row>
    <row r="150" spans="2:27" x14ac:dyDescent="0.3">
      <c r="B150" s="19"/>
      <c r="C150" s="42"/>
      <c r="L150" s="678" t="s">
        <v>574</v>
      </c>
      <c r="M150" s="678"/>
      <c r="O150" s="678"/>
      <c r="P150" s="678"/>
      <c r="AA150" s="20"/>
    </row>
    <row r="151" spans="2:27" x14ac:dyDescent="0.3">
      <c r="B151" s="19"/>
      <c r="C151" s="42"/>
      <c r="L151" s="94"/>
      <c r="M151" s="94"/>
      <c r="AA151" s="20"/>
    </row>
    <row r="152" spans="2:27" x14ac:dyDescent="0.3">
      <c r="B152" s="19"/>
      <c r="C152" s="42"/>
      <c r="D152" s="75" t="s">
        <v>552</v>
      </c>
      <c r="E152" s="75"/>
      <c r="F152" s="75"/>
      <c r="G152" s="75"/>
      <c r="H152" s="75"/>
      <c r="I152" s="75"/>
      <c r="J152" s="75"/>
      <c r="K152" s="100"/>
      <c r="L152" s="692">
        <f>SUM(L130:M148)</f>
        <v>0</v>
      </c>
      <c r="M152" s="693"/>
      <c r="N152" s="141"/>
      <c r="W152" s="680"/>
      <c r="X152" s="680"/>
      <c r="AA152" s="20"/>
    </row>
    <row r="153" spans="2:27" x14ac:dyDescent="0.3">
      <c r="B153" s="19"/>
      <c r="C153" s="42"/>
      <c r="D153" s="75" t="s">
        <v>2302</v>
      </c>
      <c r="E153" s="75"/>
      <c r="F153" s="75"/>
      <c r="G153" s="75"/>
      <c r="H153" s="75"/>
      <c r="I153" s="75"/>
      <c r="J153" s="75"/>
      <c r="K153" s="100"/>
      <c r="L153" s="702">
        <f>IFERROR(SUM(Surfaces!O120:O122)/Surfaces!O25,0)</f>
        <v>0</v>
      </c>
      <c r="M153" s="703"/>
      <c r="N153" s="141"/>
      <c r="O153" s="678" t="s">
        <v>3204</v>
      </c>
      <c r="P153" s="678"/>
      <c r="U153" s="680" t="s">
        <v>3207</v>
      </c>
      <c r="V153" s="680"/>
      <c r="W153" s="680"/>
      <c r="X153" s="680"/>
      <c r="Y153" s="680"/>
      <c r="AA153" s="20"/>
    </row>
    <row r="154" spans="2:27" x14ac:dyDescent="0.3">
      <c r="B154" s="19"/>
      <c r="C154" s="42"/>
      <c r="D154" s="76" t="s">
        <v>575</v>
      </c>
      <c r="E154" s="76"/>
      <c r="F154" s="76"/>
      <c r="G154" s="76"/>
      <c r="H154" s="76"/>
      <c r="I154" s="76"/>
      <c r="J154" s="76"/>
      <c r="K154" s="101"/>
      <c r="L154" s="684">
        <f>N112</f>
        <v>0</v>
      </c>
      <c r="M154" s="685"/>
      <c r="N154" s="141"/>
      <c r="O154" s="698">
        <f>IF(L152=0,0,IF(AND(L154&gt;=0.6,L153&lt;1),MIN(MAX(L152-5,0)/1,5),MIN(MAX(L152-4,0)/1,6)))</f>
        <v>0</v>
      </c>
      <c r="P154" s="699"/>
      <c r="W154" s="686">
        <v>6</v>
      </c>
      <c r="X154" s="687"/>
      <c r="AA154" s="20"/>
    </row>
    <row r="155" spans="2:27" x14ac:dyDescent="0.3">
      <c r="B155" s="19"/>
      <c r="C155" s="42"/>
      <c r="E155" s="65"/>
      <c r="F155" s="65"/>
      <c r="G155" s="65"/>
      <c r="H155" s="65"/>
      <c r="I155" s="65"/>
      <c r="J155" s="65"/>
      <c r="K155" s="65"/>
      <c r="L155" s="36"/>
      <c r="M155" s="36"/>
      <c r="N155" s="141"/>
      <c r="AA155" s="20"/>
    </row>
    <row r="156" spans="2:27" x14ac:dyDescent="0.3">
      <c r="B156" s="19"/>
      <c r="C156" s="42"/>
      <c r="D156" s="65"/>
      <c r="E156" s="65"/>
      <c r="F156" s="65"/>
      <c r="G156" s="65"/>
      <c r="H156" s="65"/>
      <c r="I156" s="65"/>
      <c r="J156" s="65"/>
      <c r="K156" s="65"/>
      <c r="L156" s="36"/>
      <c r="M156" s="36"/>
      <c r="N156" s="141"/>
      <c r="AA156" s="20"/>
    </row>
    <row r="157" spans="2:27" x14ac:dyDescent="0.3">
      <c r="B157" s="19"/>
      <c r="C157" s="42"/>
      <c r="D157" s="70" t="s">
        <v>2472</v>
      </c>
      <c r="AA157" s="20"/>
    </row>
    <row r="158" spans="2:27" x14ac:dyDescent="0.3">
      <c r="B158" s="19"/>
      <c r="C158" s="42"/>
      <c r="D158" s="652"/>
      <c r="E158" s="653"/>
      <c r="F158" s="653"/>
      <c r="G158" s="653"/>
      <c r="H158" s="653"/>
      <c r="I158" s="653"/>
      <c r="J158" s="653"/>
      <c r="K158" s="653"/>
      <c r="L158" s="653"/>
      <c r="M158" s="653"/>
      <c r="N158" s="653"/>
      <c r="O158" s="653"/>
      <c r="P158" s="653"/>
      <c r="Q158" s="653"/>
      <c r="R158" s="653"/>
      <c r="S158" s="653"/>
      <c r="T158" s="653"/>
      <c r="U158" s="653"/>
      <c r="V158" s="653"/>
      <c r="W158" s="653"/>
      <c r="X158" s="654"/>
      <c r="AA158" s="20"/>
    </row>
    <row r="159" spans="2:27" x14ac:dyDescent="0.3">
      <c r="B159" s="19"/>
      <c r="C159" s="42"/>
      <c r="D159" s="655"/>
      <c r="E159" s="656"/>
      <c r="F159" s="656"/>
      <c r="G159" s="656"/>
      <c r="H159" s="656"/>
      <c r="I159" s="656"/>
      <c r="J159" s="656"/>
      <c r="K159" s="656"/>
      <c r="L159" s="656"/>
      <c r="M159" s="656"/>
      <c r="N159" s="656"/>
      <c r="O159" s="656"/>
      <c r="P159" s="656"/>
      <c r="Q159" s="656"/>
      <c r="R159" s="656"/>
      <c r="S159" s="656"/>
      <c r="T159" s="656"/>
      <c r="U159" s="656"/>
      <c r="V159" s="656"/>
      <c r="W159" s="656"/>
      <c r="X159" s="657"/>
      <c r="AA159" s="20"/>
    </row>
    <row r="160" spans="2:27" x14ac:dyDescent="0.3">
      <c r="B160" s="19"/>
      <c r="C160" s="42"/>
      <c r="D160" s="655"/>
      <c r="E160" s="656"/>
      <c r="F160" s="656"/>
      <c r="G160" s="656"/>
      <c r="H160" s="656"/>
      <c r="I160" s="656"/>
      <c r="J160" s="656"/>
      <c r="K160" s="656"/>
      <c r="L160" s="656"/>
      <c r="M160" s="656"/>
      <c r="N160" s="656"/>
      <c r="O160" s="656"/>
      <c r="P160" s="656"/>
      <c r="Q160" s="656"/>
      <c r="R160" s="656"/>
      <c r="S160" s="656"/>
      <c r="T160" s="656"/>
      <c r="U160" s="656"/>
      <c r="V160" s="656"/>
      <c r="W160" s="656"/>
      <c r="X160" s="657"/>
      <c r="AA160" s="20"/>
    </row>
    <row r="161" spans="2:27" x14ac:dyDescent="0.3">
      <c r="B161" s="19"/>
      <c r="C161" s="42"/>
      <c r="D161" s="655"/>
      <c r="E161" s="656"/>
      <c r="F161" s="656"/>
      <c r="G161" s="656"/>
      <c r="H161" s="656"/>
      <c r="I161" s="656"/>
      <c r="J161" s="656"/>
      <c r="K161" s="656"/>
      <c r="L161" s="656"/>
      <c r="M161" s="656"/>
      <c r="N161" s="656"/>
      <c r="O161" s="656"/>
      <c r="P161" s="656"/>
      <c r="Q161" s="656"/>
      <c r="R161" s="656"/>
      <c r="S161" s="656"/>
      <c r="T161" s="656"/>
      <c r="U161" s="656"/>
      <c r="V161" s="656"/>
      <c r="W161" s="656"/>
      <c r="X161" s="657"/>
      <c r="AA161" s="20"/>
    </row>
    <row r="162" spans="2:27" x14ac:dyDescent="0.3">
      <c r="B162" s="19"/>
      <c r="C162" s="42"/>
      <c r="D162" s="658"/>
      <c r="E162" s="659"/>
      <c r="F162" s="659"/>
      <c r="G162" s="659"/>
      <c r="H162" s="659"/>
      <c r="I162" s="659"/>
      <c r="J162" s="659"/>
      <c r="K162" s="659"/>
      <c r="L162" s="659"/>
      <c r="M162" s="659"/>
      <c r="N162" s="659"/>
      <c r="O162" s="659"/>
      <c r="P162" s="659"/>
      <c r="Q162" s="659"/>
      <c r="R162" s="659"/>
      <c r="S162" s="659"/>
      <c r="T162" s="659"/>
      <c r="U162" s="659"/>
      <c r="V162" s="659"/>
      <c r="W162" s="659"/>
      <c r="X162" s="660"/>
      <c r="AA162" s="20"/>
    </row>
    <row r="163" spans="2:27" x14ac:dyDescent="0.3">
      <c r="B163" s="19"/>
      <c r="C163" s="42"/>
      <c r="D163" s="65"/>
      <c r="E163" s="65"/>
      <c r="F163" s="65"/>
      <c r="G163" s="65"/>
      <c r="H163" s="65"/>
      <c r="I163" s="65"/>
      <c r="J163" s="65"/>
      <c r="K163" s="65"/>
      <c r="L163" s="36"/>
      <c r="M163" s="36"/>
      <c r="N163" s="141"/>
      <c r="AA163" s="20"/>
    </row>
    <row r="164" spans="2:27" ht="15" thickBot="1" x14ac:dyDescent="0.35">
      <c r="B164" s="22"/>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4"/>
    </row>
    <row r="167" spans="2:27" ht="15" thickBot="1" x14ac:dyDescent="0.35"/>
    <row r="168" spans="2:27" x14ac:dyDescent="0.3">
      <c r="B168" s="16"/>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8"/>
    </row>
    <row r="169" spans="2:27" x14ac:dyDescent="0.3">
      <c r="B169" s="19"/>
      <c r="AA169" s="20"/>
    </row>
    <row r="170" spans="2:27" x14ac:dyDescent="0.3">
      <c r="B170" s="19"/>
      <c r="C170" s="70" t="s">
        <v>2303</v>
      </c>
      <c r="AA170" s="20"/>
    </row>
    <row r="171" spans="2:27" x14ac:dyDescent="0.3">
      <c r="B171" s="19"/>
      <c r="D171" s="47" t="s">
        <v>267</v>
      </c>
      <c r="E171" s="47"/>
      <c r="F171" s="47"/>
      <c r="G171" s="47"/>
      <c r="H171" s="43"/>
      <c r="I171" s="704"/>
      <c r="J171" s="705"/>
      <c r="AA171" s="20"/>
    </row>
    <row r="172" spans="2:27" x14ac:dyDescent="0.3">
      <c r="B172" s="19"/>
      <c r="D172" s="48" t="s">
        <v>268</v>
      </c>
      <c r="E172" s="48"/>
      <c r="F172" s="48"/>
      <c r="G172" s="48"/>
      <c r="H172" s="44"/>
      <c r="I172" s="704"/>
      <c r="J172" s="705"/>
      <c r="AA172" s="20"/>
    </row>
    <row r="173" spans="2:27" x14ac:dyDescent="0.3">
      <c r="B173" s="19"/>
      <c r="D173" s="48" t="s">
        <v>269</v>
      </c>
      <c r="E173" s="48"/>
      <c r="F173" s="48"/>
      <c r="G173" s="48"/>
      <c r="H173" s="44"/>
      <c r="I173" s="704"/>
      <c r="J173" s="705"/>
      <c r="AA173" s="20"/>
    </row>
    <row r="174" spans="2:27" x14ac:dyDescent="0.3">
      <c r="B174" s="19"/>
      <c r="D174" s="48" t="s">
        <v>270</v>
      </c>
      <c r="E174" s="48"/>
      <c r="F174" s="48"/>
      <c r="G174" s="48"/>
      <c r="H174" s="44"/>
      <c r="I174" s="704"/>
      <c r="J174" s="705"/>
      <c r="AA174" s="20"/>
    </row>
    <row r="175" spans="2:27" x14ac:dyDescent="0.3">
      <c r="B175" s="19"/>
      <c r="D175" s="48" t="s">
        <v>271</v>
      </c>
      <c r="E175" s="48"/>
      <c r="F175" s="48"/>
      <c r="G175" s="48"/>
      <c r="H175" s="44"/>
      <c r="I175" s="747"/>
      <c r="J175" s="748"/>
      <c r="AA175" s="20"/>
    </row>
    <row r="176" spans="2:27" x14ac:dyDescent="0.3">
      <c r="B176" s="19"/>
      <c r="D176" s="48" t="s">
        <v>273</v>
      </c>
      <c r="E176" s="48"/>
      <c r="F176" s="48"/>
      <c r="G176" s="48"/>
      <c r="H176" s="44"/>
      <c r="I176" s="704"/>
      <c r="J176" s="705"/>
      <c r="AA176" s="20"/>
    </row>
    <row r="177" spans="2:27" x14ac:dyDescent="0.3">
      <c r="B177" s="19"/>
      <c r="AA177" s="20"/>
    </row>
    <row r="178" spans="2:27" x14ac:dyDescent="0.3">
      <c r="B178" s="19"/>
      <c r="AA178" s="20"/>
    </row>
    <row r="179" spans="2:27" x14ac:dyDescent="0.3">
      <c r="B179" s="19"/>
      <c r="C179" s="42"/>
      <c r="L179" s="678" t="s">
        <v>3204</v>
      </c>
      <c r="M179" s="678"/>
      <c r="U179" s="680" t="s">
        <v>3207</v>
      </c>
      <c r="V179" s="680"/>
      <c r="W179" s="680"/>
      <c r="X179" s="680"/>
      <c r="Y179" s="680"/>
      <c r="AA179" s="20"/>
    </row>
    <row r="180" spans="2:27" x14ac:dyDescent="0.3">
      <c r="B180" s="19"/>
      <c r="D180" s="40" t="s">
        <v>272</v>
      </c>
      <c r="E180" s="40"/>
      <c r="F180" s="40"/>
      <c r="G180" s="40"/>
      <c r="H180" s="45"/>
      <c r="I180" s="761">
        <f>IFERROR(SUM(I171:J176),0)</f>
        <v>0</v>
      </c>
      <c r="J180" s="762"/>
      <c r="L180" s="698">
        <f>IFERROR(IF(I180&gt;=4,3,IF(I180=3,2,IF(I180=2,1,0))),0)</f>
        <v>0</v>
      </c>
      <c r="M180" s="699"/>
      <c r="W180" s="686">
        <v>3</v>
      </c>
      <c r="X180" s="687"/>
      <c r="AA180" s="20"/>
    </row>
    <row r="181" spans="2:27" x14ac:dyDescent="0.3">
      <c r="B181" s="19"/>
      <c r="AA181" s="20"/>
    </row>
    <row r="182" spans="2:27" x14ac:dyDescent="0.3">
      <c r="B182" s="19"/>
      <c r="AA182" s="20"/>
    </row>
    <row r="183" spans="2:27" x14ac:dyDescent="0.3">
      <c r="B183" s="19"/>
      <c r="D183" s="70" t="s">
        <v>2472</v>
      </c>
      <c r="AA183" s="20"/>
    </row>
    <row r="184" spans="2:27" x14ac:dyDescent="0.3">
      <c r="B184" s="19"/>
      <c r="D184" s="652"/>
      <c r="E184" s="653"/>
      <c r="F184" s="653"/>
      <c r="G184" s="653"/>
      <c r="H184" s="653"/>
      <c r="I184" s="653"/>
      <c r="J184" s="653"/>
      <c r="K184" s="653"/>
      <c r="L184" s="653"/>
      <c r="M184" s="653"/>
      <c r="N184" s="653"/>
      <c r="O184" s="653"/>
      <c r="P184" s="653"/>
      <c r="Q184" s="653"/>
      <c r="R184" s="653"/>
      <c r="S184" s="653"/>
      <c r="T184" s="653"/>
      <c r="U184" s="653"/>
      <c r="V184" s="653"/>
      <c r="W184" s="653"/>
      <c r="X184" s="654"/>
      <c r="AA184" s="20"/>
    </row>
    <row r="185" spans="2:27" x14ac:dyDescent="0.3">
      <c r="B185" s="19"/>
      <c r="D185" s="655"/>
      <c r="E185" s="656"/>
      <c r="F185" s="656"/>
      <c r="G185" s="656"/>
      <c r="H185" s="656"/>
      <c r="I185" s="656"/>
      <c r="J185" s="656"/>
      <c r="K185" s="656"/>
      <c r="L185" s="656"/>
      <c r="M185" s="656"/>
      <c r="N185" s="656"/>
      <c r="O185" s="656"/>
      <c r="P185" s="656"/>
      <c r="Q185" s="656"/>
      <c r="R185" s="656"/>
      <c r="S185" s="656"/>
      <c r="T185" s="656"/>
      <c r="U185" s="656"/>
      <c r="V185" s="656"/>
      <c r="W185" s="656"/>
      <c r="X185" s="657"/>
      <c r="AA185" s="20"/>
    </row>
    <row r="186" spans="2:27" x14ac:dyDescent="0.3">
      <c r="B186" s="19"/>
      <c r="D186" s="655"/>
      <c r="E186" s="656"/>
      <c r="F186" s="656"/>
      <c r="G186" s="656"/>
      <c r="H186" s="656"/>
      <c r="I186" s="656"/>
      <c r="J186" s="656"/>
      <c r="K186" s="656"/>
      <c r="L186" s="656"/>
      <c r="M186" s="656"/>
      <c r="N186" s="656"/>
      <c r="O186" s="656"/>
      <c r="P186" s="656"/>
      <c r="Q186" s="656"/>
      <c r="R186" s="656"/>
      <c r="S186" s="656"/>
      <c r="T186" s="656"/>
      <c r="U186" s="656"/>
      <c r="V186" s="656"/>
      <c r="W186" s="656"/>
      <c r="X186" s="657"/>
      <c r="AA186" s="20"/>
    </row>
    <row r="187" spans="2:27" x14ac:dyDescent="0.3">
      <c r="B187" s="19"/>
      <c r="D187" s="655"/>
      <c r="E187" s="656"/>
      <c r="F187" s="656"/>
      <c r="G187" s="656"/>
      <c r="H187" s="656"/>
      <c r="I187" s="656"/>
      <c r="J187" s="656"/>
      <c r="K187" s="656"/>
      <c r="L187" s="656"/>
      <c r="M187" s="656"/>
      <c r="N187" s="656"/>
      <c r="O187" s="656"/>
      <c r="P187" s="656"/>
      <c r="Q187" s="656"/>
      <c r="R187" s="656"/>
      <c r="S187" s="656"/>
      <c r="T187" s="656"/>
      <c r="U187" s="656"/>
      <c r="V187" s="656"/>
      <c r="W187" s="656"/>
      <c r="X187" s="657"/>
      <c r="AA187" s="20"/>
    </row>
    <row r="188" spans="2:27" x14ac:dyDescent="0.3">
      <c r="B188" s="19"/>
      <c r="D188" s="658"/>
      <c r="E188" s="659"/>
      <c r="F188" s="659"/>
      <c r="G188" s="659"/>
      <c r="H188" s="659"/>
      <c r="I188" s="659"/>
      <c r="J188" s="659"/>
      <c r="K188" s="659"/>
      <c r="L188" s="659"/>
      <c r="M188" s="659"/>
      <c r="N188" s="659"/>
      <c r="O188" s="659"/>
      <c r="P188" s="659"/>
      <c r="Q188" s="659"/>
      <c r="R188" s="659"/>
      <c r="S188" s="659"/>
      <c r="T188" s="659"/>
      <c r="U188" s="659"/>
      <c r="V188" s="659"/>
      <c r="W188" s="659"/>
      <c r="X188" s="660"/>
      <c r="AA188" s="20"/>
    </row>
    <row r="189" spans="2:27" x14ac:dyDescent="0.3">
      <c r="B189" s="19"/>
      <c r="AA189" s="20"/>
    </row>
    <row r="190" spans="2:27" ht="15" thickBot="1" x14ac:dyDescent="0.35">
      <c r="B190" s="22"/>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4"/>
    </row>
    <row r="193" spans="2:27" ht="15" thickBot="1" x14ac:dyDescent="0.35"/>
    <row r="194" spans="2:27" x14ac:dyDescent="0.3">
      <c r="B194" s="16"/>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8"/>
    </row>
    <row r="195" spans="2:27" x14ac:dyDescent="0.3">
      <c r="B195" s="19"/>
      <c r="AA195" s="20"/>
    </row>
    <row r="196" spans="2:27" x14ac:dyDescent="0.3">
      <c r="B196" s="19"/>
      <c r="C196" s="90" t="s">
        <v>274</v>
      </c>
      <c r="D196" s="47"/>
      <c r="E196" s="47"/>
      <c r="F196" s="47"/>
      <c r="G196" s="47"/>
      <c r="H196" s="43"/>
      <c r="I196" s="704"/>
      <c r="J196" s="705"/>
      <c r="AA196" s="20"/>
    </row>
    <row r="197" spans="2:27" x14ac:dyDescent="0.3">
      <c r="B197" s="19"/>
      <c r="AA197" s="20"/>
    </row>
    <row r="198" spans="2:27" x14ac:dyDescent="0.3">
      <c r="B198" s="19"/>
      <c r="C198" s="42"/>
      <c r="L198" s="678" t="s">
        <v>3204</v>
      </c>
      <c r="M198" s="678"/>
      <c r="U198" s="680" t="s">
        <v>3207</v>
      </c>
      <c r="V198" s="680"/>
      <c r="W198" s="680"/>
      <c r="X198" s="680"/>
      <c r="Y198" s="680"/>
      <c r="AA198" s="20"/>
    </row>
    <row r="199" spans="2:27" x14ac:dyDescent="0.3">
      <c r="B199" s="19"/>
      <c r="D199" s="40" t="s">
        <v>280</v>
      </c>
      <c r="E199" s="40"/>
      <c r="F199" s="40"/>
      <c r="G199" s="40"/>
      <c r="H199" s="45"/>
      <c r="I199" s="761">
        <f>IFERROR(SUM(I196),0)</f>
        <v>0</v>
      </c>
      <c r="J199" s="762"/>
      <c r="L199" s="698">
        <f>IFERROR(IF(I199&gt;=3,1,0),0)</f>
        <v>0</v>
      </c>
      <c r="M199" s="699"/>
      <c r="N199" s="141"/>
      <c r="W199" s="686">
        <v>1</v>
      </c>
      <c r="X199" s="687"/>
      <c r="AA199" s="20"/>
    </row>
    <row r="200" spans="2:27" x14ac:dyDescent="0.3">
      <c r="B200" s="19"/>
      <c r="AA200" s="20"/>
    </row>
    <row r="201" spans="2:27" x14ac:dyDescent="0.3">
      <c r="B201" s="19"/>
      <c r="AA201" s="20"/>
    </row>
    <row r="202" spans="2:27" x14ac:dyDescent="0.3">
      <c r="B202" s="19"/>
      <c r="D202" s="70" t="s">
        <v>2472</v>
      </c>
      <c r="AA202" s="20"/>
    </row>
    <row r="203" spans="2:27" x14ac:dyDescent="0.3">
      <c r="B203" s="19"/>
      <c r="D203" s="652"/>
      <c r="E203" s="653"/>
      <c r="F203" s="653"/>
      <c r="G203" s="653"/>
      <c r="H203" s="653"/>
      <c r="I203" s="653"/>
      <c r="J203" s="653"/>
      <c r="K203" s="653"/>
      <c r="L203" s="653"/>
      <c r="M203" s="653"/>
      <c r="N203" s="653"/>
      <c r="O203" s="653"/>
      <c r="P203" s="653"/>
      <c r="Q203" s="653"/>
      <c r="R203" s="653"/>
      <c r="S203" s="653"/>
      <c r="T203" s="653"/>
      <c r="U203" s="653"/>
      <c r="V203" s="653"/>
      <c r="W203" s="653"/>
      <c r="X203" s="654"/>
      <c r="AA203" s="20"/>
    </row>
    <row r="204" spans="2:27" x14ac:dyDescent="0.3">
      <c r="B204" s="19"/>
      <c r="D204" s="655"/>
      <c r="E204" s="656"/>
      <c r="F204" s="656"/>
      <c r="G204" s="656"/>
      <c r="H204" s="656"/>
      <c r="I204" s="656"/>
      <c r="J204" s="656"/>
      <c r="K204" s="656"/>
      <c r="L204" s="656"/>
      <c r="M204" s="656"/>
      <c r="N204" s="656"/>
      <c r="O204" s="656"/>
      <c r="P204" s="656"/>
      <c r="Q204" s="656"/>
      <c r="R204" s="656"/>
      <c r="S204" s="656"/>
      <c r="T204" s="656"/>
      <c r="U204" s="656"/>
      <c r="V204" s="656"/>
      <c r="W204" s="656"/>
      <c r="X204" s="657"/>
      <c r="AA204" s="20"/>
    </row>
    <row r="205" spans="2:27" x14ac:dyDescent="0.3">
      <c r="B205" s="19"/>
      <c r="D205" s="655"/>
      <c r="E205" s="656"/>
      <c r="F205" s="656"/>
      <c r="G205" s="656"/>
      <c r="H205" s="656"/>
      <c r="I205" s="656"/>
      <c r="J205" s="656"/>
      <c r="K205" s="656"/>
      <c r="L205" s="656"/>
      <c r="M205" s="656"/>
      <c r="N205" s="656"/>
      <c r="O205" s="656"/>
      <c r="P205" s="656"/>
      <c r="Q205" s="656"/>
      <c r="R205" s="656"/>
      <c r="S205" s="656"/>
      <c r="T205" s="656"/>
      <c r="U205" s="656"/>
      <c r="V205" s="656"/>
      <c r="W205" s="656"/>
      <c r="X205" s="657"/>
      <c r="AA205" s="20"/>
    </row>
    <row r="206" spans="2:27" x14ac:dyDescent="0.3">
      <c r="B206" s="19"/>
      <c r="D206" s="655"/>
      <c r="E206" s="656"/>
      <c r="F206" s="656"/>
      <c r="G206" s="656"/>
      <c r="H206" s="656"/>
      <c r="I206" s="656"/>
      <c r="J206" s="656"/>
      <c r="K206" s="656"/>
      <c r="L206" s="656"/>
      <c r="M206" s="656"/>
      <c r="N206" s="656"/>
      <c r="O206" s="656"/>
      <c r="P206" s="656"/>
      <c r="Q206" s="656"/>
      <c r="R206" s="656"/>
      <c r="S206" s="656"/>
      <c r="T206" s="656"/>
      <c r="U206" s="656"/>
      <c r="V206" s="656"/>
      <c r="W206" s="656"/>
      <c r="X206" s="657"/>
      <c r="AA206" s="20"/>
    </row>
    <row r="207" spans="2:27" x14ac:dyDescent="0.3">
      <c r="B207" s="19"/>
      <c r="D207" s="658"/>
      <c r="E207" s="659"/>
      <c r="F207" s="659"/>
      <c r="G207" s="659"/>
      <c r="H207" s="659"/>
      <c r="I207" s="659"/>
      <c r="J207" s="659"/>
      <c r="K207" s="659"/>
      <c r="L207" s="659"/>
      <c r="M207" s="659"/>
      <c r="N207" s="659"/>
      <c r="O207" s="659"/>
      <c r="P207" s="659"/>
      <c r="Q207" s="659"/>
      <c r="R207" s="659"/>
      <c r="S207" s="659"/>
      <c r="T207" s="659"/>
      <c r="U207" s="659"/>
      <c r="V207" s="659"/>
      <c r="W207" s="659"/>
      <c r="X207" s="660"/>
      <c r="AA207" s="20"/>
    </row>
    <row r="208" spans="2:27" x14ac:dyDescent="0.3">
      <c r="B208" s="19"/>
      <c r="AA208" s="20"/>
    </row>
    <row r="209" spans="2:27" ht="15" thickBot="1" x14ac:dyDescent="0.35">
      <c r="B209" s="22"/>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4"/>
    </row>
    <row r="212" spans="2:27" ht="15" thickBot="1" x14ac:dyDescent="0.35"/>
    <row r="213" spans="2:27" x14ac:dyDescent="0.3">
      <c r="B213" s="16"/>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8"/>
    </row>
    <row r="214" spans="2:27" x14ac:dyDescent="0.3">
      <c r="B214" s="19"/>
      <c r="AA214" s="20"/>
    </row>
    <row r="215" spans="2:27" x14ac:dyDescent="0.3">
      <c r="B215" s="19"/>
      <c r="C215" s="70" t="s">
        <v>2544</v>
      </c>
      <c r="I215" s="704"/>
      <c r="J215" s="705"/>
      <c r="AA215" s="20"/>
    </row>
    <row r="216" spans="2:27" x14ac:dyDescent="0.3">
      <c r="B216" s="19"/>
      <c r="C216" s="70" t="s">
        <v>2545</v>
      </c>
      <c r="I216" s="704"/>
      <c r="J216" s="705"/>
      <c r="AA216" s="20"/>
    </row>
    <row r="217" spans="2:27" x14ac:dyDescent="0.3">
      <c r="B217" s="19"/>
      <c r="AA217" s="20"/>
    </row>
    <row r="218" spans="2:27" x14ac:dyDescent="0.3">
      <c r="B218" s="19"/>
      <c r="AA218" s="20"/>
    </row>
    <row r="219" spans="2:27" x14ac:dyDescent="0.3">
      <c r="B219" s="19"/>
      <c r="C219" s="70" t="s">
        <v>2511</v>
      </c>
      <c r="AA219" s="20"/>
    </row>
    <row r="220" spans="2:27" x14ac:dyDescent="0.3">
      <c r="B220" s="19"/>
      <c r="C220" s="760"/>
      <c r="D220" s="653"/>
      <c r="E220" s="653"/>
      <c r="F220" s="653"/>
      <c r="G220" s="653"/>
      <c r="H220" s="653"/>
      <c r="I220" s="653"/>
      <c r="J220" s="653"/>
      <c r="K220" s="653"/>
      <c r="L220" s="653"/>
      <c r="M220" s="653"/>
      <c r="N220" s="653"/>
      <c r="O220" s="653"/>
      <c r="P220" s="653"/>
      <c r="Q220" s="653"/>
      <c r="R220" s="653"/>
      <c r="S220" s="653"/>
      <c r="T220" s="653"/>
      <c r="U220" s="654"/>
      <c r="AA220" s="20"/>
    </row>
    <row r="221" spans="2:27" x14ac:dyDescent="0.3">
      <c r="B221" s="19"/>
      <c r="C221" s="655"/>
      <c r="D221" s="656"/>
      <c r="E221" s="656"/>
      <c r="F221" s="656"/>
      <c r="G221" s="656"/>
      <c r="H221" s="656"/>
      <c r="I221" s="656"/>
      <c r="J221" s="656"/>
      <c r="K221" s="656"/>
      <c r="L221" s="656"/>
      <c r="M221" s="656"/>
      <c r="N221" s="656"/>
      <c r="O221" s="656"/>
      <c r="P221" s="656"/>
      <c r="Q221" s="656"/>
      <c r="R221" s="656"/>
      <c r="S221" s="656"/>
      <c r="T221" s="656"/>
      <c r="U221" s="657"/>
      <c r="AA221" s="20"/>
    </row>
    <row r="222" spans="2:27" x14ac:dyDescent="0.3">
      <c r="B222" s="19"/>
      <c r="C222" s="655"/>
      <c r="D222" s="656"/>
      <c r="E222" s="656"/>
      <c r="F222" s="656"/>
      <c r="G222" s="656"/>
      <c r="H222" s="656"/>
      <c r="I222" s="656"/>
      <c r="J222" s="656"/>
      <c r="K222" s="656"/>
      <c r="L222" s="656"/>
      <c r="M222" s="656"/>
      <c r="N222" s="656"/>
      <c r="O222" s="656"/>
      <c r="P222" s="656"/>
      <c r="Q222" s="656"/>
      <c r="R222" s="656"/>
      <c r="S222" s="656"/>
      <c r="T222" s="656"/>
      <c r="U222" s="657"/>
      <c r="AA222" s="20"/>
    </row>
    <row r="223" spans="2:27" x14ac:dyDescent="0.3">
      <c r="B223" s="19"/>
      <c r="C223" s="655"/>
      <c r="D223" s="656"/>
      <c r="E223" s="656"/>
      <c r="F223" s="656"/>
      <c r="G223" s="656"/>
      <c r="H223" s="656"/>
      <c r="I223" s="656"/>
      <c r="J223" s="656"/>
      <c r="K223" s="656"/>
      <c r="L223" s="656"/>
      <c r="M223" s="656"/>
      <c r="N223" s="656"/>
      <c r="O223" s="656"/>
      <c r="P223" s="656"/>
      <c r="Q223" s="656"/>
      <c r="R223" s="656"/>
      <c r="S223" s="656"/>
      <c r="T223" s="656"/>
      <c r="U223" s="657"/>
      <c r="AA223" s="20"/>
    </row>
    <row r="224" spans="2:27" x14ac:dyDescent="0.3">
      <c r="B224" s="19"/>
      <c r="C224" s="655"/>
      <c r="D224" s="656"/>
      <c r="E224" s="656"/>
      <c r="F224" s="656"/>
      <c r="G224" s="656"/>
      <c r="H224" s="656"/>
      <c r="I224" s="656"/>
      <c r="J224" s="656"/>
      <c r="K224" s="656"/>
      <c r="L224" s="656"/>
      <c r="M224" s="656"/>
      <c r="N224" s="656"/>
      <c r="O224" s="656"/>
      <c r="P224" s="656"/>
      <c r="Q224" s="656"/>
      <c r="R224" s="656"/>
      <c r="S224" s="656"/>
      <c r="T224" s="656"/>
      <c r="U224" s="657"/>
      <c r="AA224" s="20"/>
    </row>
    <row r="225" spans="2:27" x14ac:dyDescent="0.3">
      <c r="B225" s="19"/>
      <c r="C225" s="658"/>
      <c r="D225" s="659"/>
      <c r="E225" s="659"/>
      <c r="F225" s="659"/>
      <c r="G225" s="659"/>
      <c r="H225" s="659"/>
      <c r="I225" s="659"/>
      <c r="J225" s="659"/>
      <c r="K225" s="659"/>
      <c r="L225" s="659"/>
      <c r="M225" s="659"/>
      <c r="N225" s="659"/>
      <c r="O225" s="659"/>
      <c r="P225" s="659"/>
      <c r="Q225" s="659"/>
      <c r="R225" s="659"/>
      <c r="S225" s="659"/>
      <c r="T225" s="659"/>
      <c r="U225" s="660"/>
      <c r="AA225" s="20"/>
    </row>
    <row r="226" spans="2:27" x14ac:dyDescent="0.3">
      <c r="B226" s="19"/>
      <c r="AA226" s="20"/>
    </row>
    <row r="227" spans="2:27" x14ac:dyDescent="0.3">
      <c r="B227" s="19"/>
      <c r="AA227" s="20"/>
    </row>
    <row r="228" spans="2:27" x14ac:dyDescent="0.3">
      <c r="B228" s="19"/>
      <c r="C228" s="42"/>
      <c r="L228" s="678" t="s">
        <v>3204</v>
      </c>
      <c r="M228" s="678"/>
      <c r="W228" s="680"/>
      <c r="X228" s="680"/>
      <c r="AA228" s="20"/>
    </row>
    <row r="229" spans="2:27" x14ac:dyDescent="0.3">
      <c r="B229" s="19"/>
      <c r="C229" s="42"/>
      <c r="D229" s="40" t="s">
        <v>2546</v>
      </c>
      <c r="E229" s="40"/>
      <c r="F229" s="40"/>
      <c r="G229" s="40"/>
      <c r="H229" s="40"/>
      <c r="I229" s="40"/>
      <c r="J229" s="40"/>
      <c r="K229" s="45"/>
      <c r="L229" s="772">
        <f>IF(I215=0,0,IF(I215&lt;1,0,IF(I215=1,1,IF(I215=2,2,IF(I215&gt;=3,3,0)))))</f>
        <v>0</v>
      </c>
      <c r="M229" s="773"/>
      <c r="W229" s="301"/>
      <c r="X229" s="301"/>
      <c r="AA229" s="20"/>
    </row>
    <row r="230" spans="2:27" x14ac:dyDescent="0.3">
      <c r="B230" s="19"/>
      <c r="C230" s="42"/>
      <c r="D230" s="77" t="s">
        <v>2547</v>
      </c>
      <c r="E230" s="77"/>
      <c r="F230" s="77"/>
      <c r="G230" s="77"/>
      <c r="H230" s="77"/>
      <c r="I230" s="77"/>
      <c r="J230" s="77"/>
      <c r="K230" s="78"/>
      <c r="L230" s="772">
        <f>IF(I216=0,0,IF(I216&lt;1,0,IF(I216=1,1,IF(I216=2,2,IF(I216&gt;=3,3,0)))))</f>
        <v>0</v>
      </c>
      <c r="M230" s="773"/>
      <c r="U230" s="680" t="s">
        <v>3207</v>
      </c>
      <c r="V230" s="680"/>
      <c r="W230" s="680"/>
      <c r="X230" s="680"/>
      <c r="Y230" s="680"/>
      <c r="AA230" s="20"/>
    </row>
    <row r="231" spans="2:27" x14ac:dyDescent="0.3">
      <c r="B231" s="19"/>
      <c r="D231" s="77" t="s">
        <v>417</v>
      </c>
      <c r="E231" s="77"/>
      <c r="F231" s="77"/>
      <c r="G231" s="77"/>
      <c r="H231" s="77"/>
      <c r="I231" s="77"/>
      <c r="J231" s="77"/>
      <c r="K231" s="78"/>
      <c r="L231" s="696">
        <f>IF(AND(I215="",I216=""),0,SUM(L229:M230))</f>
        <v>0</v>
      </c>
      <c r="M231" s="697"/>
      <c r="N231" s="141"/>
      <c r="W231" s="694">
        <v>6</v>
      </c>
      <c r="X231" s="695"/>
      <c r="AA231" s="20"/>
    </row>
    <row r="232" spans="2:27" x14ac:dyDescent="0.3">
      <c r="B232" s="19"/>
      <c r="AA232" s="20"/>
    </row>
    <row r="233" spans="2:27" ht="15" thickBot="1" x14ac:dyDescent="0.35">
      <c r="B233" s="22"/>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4"/>
    </row>
    <row r="236" spans="2:27" ht="15" thickBot="1" x14ac:dyDescent="0.35"/>
    <row r="237" spans="2:27" x14ac:dyDescent="0.3">
      <c r="B237" s="16"/>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8"/>
    </row>
    <row r="238" spans="2:27" x14ac:dyDescent="0.3">
      <c r="B238" s="19"/>
      <c r="AA238" s="20"/>
    </row>
    <row r="239" spans="2:27" x14ac:dyDescent="0.3">
      <c r="B239" s="19"/>
      <c r="C239" s="141" t="s">
        <v>2552</v>
      </c>
      <c r="AA239" s="20"/>
    </row>
    <row r="240" spans="2:27" x14ac:dyDescent="0.3">
      <c r="B240" s="19"/>
      <c r="AA240" s="20"/>
    </row>
    <row r="241" spans="2:27" x14ac:dyDescent="0.3">
      <c r="B241" s="19"/>
      <c r="C241" s="70" t="s">
        <v>576</v>
      </c>
      <c r="AA241" s="20"/>
    </row>
    <row r="242" spans="2:27" x14ac:dyDescent="0.3">
      <c r="B242" s="19"/>
      <c r="D242" s="47" t="s">
        <v>2548</v>
      </c>
      <c r="E242" s="47"/>
      <c r="F242" s="47"/>
      <c r="G242" s="47"/>
      <c r="H242" s="47"/>
      <c r="I242" s="47"/>
      <c r="J242" s="47"/>
      <c r="K242" s="47"/>
      <c r="L242" s="47"/>
      <c r="M242" s="47"/>
      <c r="N242" s="43"/>
      <c r="O242" s="704"/>
      <c r="P242" s="705"/>
      <c r="AA242" s="20"/>
    </row>
    <row r="243" spans="2:27" x14ac:dyDescent="0.3">
      <c r="B243" s="19"/>
      <c r="D243" s="48" t="s">
        <v>2512</v>
      </c>
      <c r="E243" s="48"/>
      <c r="F243" s="48"/>
      <c r="G243" s="48"/>
      <c r="H243" s="48"/>
      <c r="I243" s="48"/>
      <c r="J243" s="48"/>
      <c r="K243" s="48"/>
      <c r="L243" s="48"/>
      <c r="M243" s="48"/>
      <c r="N243" s="44"/>
      <c r="O243" s="704"/>
      <c r="P243" s="705"/>
      <c r="AA243" s="20"/>
    </row>
    <row r="244" spans="2:27" x14ac:dyDescent="0.3">
      <c r="B244" s="19"/>
      <c r="AA244" s="20"/>
    </row>
    <row r="245" spans="2:27" x14ac:dyDescent="0.3">
      <c r="B245" s="19"/>
      <c r="AA245" s="20"/>
    </row>
    <row r="246" spans="2:27" x14ac:dyDescent="0.3">
      <c r="B246" s="19"/>
      <c r="C246" s="42"/>
      <c r="O246" s="678" t="s">
        <v>3204</v>
      </c>
      <c r="P246" s="678"/>
      <c r="U246" s="680" t="s">
        <v>3207</v>
      </c>
      <c r="V246" s="680"/>
      <c r="W246" s="680"/>
      <c r="X246" s="680"/>
      <c r="Y246" s="680"/>
      <c r="AA246" s="20"/>
    </row>
    <row r="247" spans="2:27" x14ac:dyDescent="0.3">
      <c r="B247" s="19"/>
      <c r="O247" s="696">
        <f>IFERROR(IF(OR(O242="Oui",O243="Oui"),1,0),0)</f>
        <v>0</v>
      </c>
      <c r="P247" s="697"/>
      <c r="W247" s="694">
        <v>1</v>
      </c>
      <c r="X247" s="695"/>
      <c r="AA247" s="20"/>
    </row>
    <row r="248" spans="2:27" x14ac:dyDescent="0.3">
      <c r="B248" s="19"/>
      <c r="AA248" s="20"/>
    </row>
    <row r="249" spans="2:27" x14ac:dyDescent="0.3">
      <c r="B249" s="19"/>
      <c r="D249" s="70" t="s">
        <v>2472</v>
      </c>
      <c r="AA249" s="20"/>
    </row>
    <row r="250" spans="2:27" x14ac:dyDescent="0.3">
      <c r="B250" s="19"/>
      <c r="D250" s="652"/>
      <c r="E250" s="653"/>
      <c r="F250" s="653"/>
      <c r="G250" s="653"/>
      <c r="H250" s="653"/>
      <c r="I250" s="653"/>
      <c r="J250" s="653"/>
      <c r="K250" s="653"/>
      <c r="L250" s="653"/>
      <c r="M250" s="653"/>
      <c r="N250" s="653"/>
      <c r="O250" s="653"/>
      <c r="P250" s="653"/>
      <c r="Q250" s="653"/>
      <c r="R250" s="653"/>
      <c r="S250" s="653"/>
      <c r="T250" s="653"/>
      <c r="U250" s="653"/>
      <c r="V250" s="653"/>
      <c r="W250" s="653"/>
      <c r="X250" s="654"/>
      <c r="AA250" s="20"/>
    </row>
    <row r="251" spans="2:27" x14ac:dyDescent="0.3">
      <c r="B251" s="19"/>
      <c r="D251" s="655"/>
      <c r="E251" s="656"/>
      <c r="F251" s="656"/>
      <c r="G251" s="656"/>
      <c r="H251" s="656"/>
      <c r="I251" s="656"/>
      <c r="J251" s="656"/>
      <c r="K251" s="656"/>
      <c r="L251" s="656"/>
      <c r="M251" s="656"/>
      <c r="N251" s="656"/>
      <c r="O251" s="656"/>
      <c r="P251" s="656"/>
      <c r="Q251" s="656"/>
      <c r="R251" s="656"/>
      <c r="S251" s="656"/>
      <c r="T251" s="656"/>
      <c r="U251" s="656"/>
      <c r="V251" s="656"/>
      <c r="W251" s="656"/>
      <c r="X251" s="657"/>
      <c r="AA251" s="20"/>
    </row>
    <row r="252" spans="2:27" x14ac:dyDescent="0.3">
      <c r="B252" s="19"/>
      <c r="D252" s="655"/>
      <c r="E252" s="656"/>
      <c r="F252" s="656"/>
      <c r="G252" s="656"/>
      <c r="H252" s="656"/>
      <c r="I252" s="656"/>
      <c r="J252" s="656"/>
      <c r="K252" s="656"/>
      <c r="L252" s="656"/>
      <c r="M252" s="656"/>
      <c r="N252" s="656"/>
      <c r="O252" s="656"/>
      <c r="P252" s="656"/>
      <c r="Q252" s="656"/>
      <c r="R252" s="656"/>
      <c r="S252" s="656"/>
      <c r="T252" s="656"/>
      <c r="U252" s="656"/>
      <c r="V252" s="656"/>
      <c r="W252" s="656"/>
      <c r="X252" s="657"/>
      <c r="AA252" s="20"/>
    </row>
    <row r="253" spans="2:27" x14ac:dyDescent="0.3">
      <c r="B253" s="19"/>
      <c r="D253" s="655"/>
      <c r="E253" s="656"/>
      <c r="F253" s="656"/>
      <c r="G253" s="656"/>
      <c r="H253" s="656"/>
      <c r="I253" s="656"/>
      <c r="J253" s="656"/>
      <c r="K253" s="656"/>
      <c r="L253" s="656"/>
      <c r="M253" s="656"/>
      <c r="N253" s="656"/>
      <c r="O253" s="656"/>
      <c r="P253" s="656"/>
      <c r="Q253" s="656"/>
      <c r="R253" s="656"/>
      <c r="S253" s="656"/>
      <c r="T253" s="656"/>
      <c r="U253" s="656"/>
      <c r="V253" s="656"/>
      <c r="W253" s="656"/>
      <c r="X253" s="657"/>
      <c r="AA253" s="20"/>
    </row>
    <row r="254" spans="2:27" x14ac:dyDescent="0.3">
      <c r="B254" s="19"/>
      <c r="D254" s="658"/>
      <c r="E254" s="659"/>
      <c r="F254" s="659"/>
      <c r="G254" s="659"/>
      <c r="H254" s="659"/>
      <c r="I254" s="659"/>
      <c r="J254" s="659"/>
      <c r="K254" s="659"/>
      <c r="L254" s="659"/>
      <c r="M254" s="659"/>
      <c r="N254" s="659"/>
      <c r="O254" s="659"/>
      <c r="P254" s="659"/>
      <c r="Q254" s="659"/>
      <c r="R254" s="659"/>
      <c r="S254" s="659"/>
      <c r="T254" s="659"/>
      <c r="U254" s="659"/>
      <c r="V254" s="659"/>
      <c r="W254" s="659"/>
      <c r="X254" s="660"/>
      <c r="AA254" s="20"/>
    </row>
    <row r="255" spans="2:27" x14ac:dyDescent="0.3">
      <c r="B255" s="19"/>
      <c r="AA255" s="20"/>
    </row>
    <row r="256" spans="2:27" ht="15" thickBot="1" x14ac:dyDescent="0.35">
      <c r="B256" s="22"/>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c r="AA256" s="24"/>
    </row>
    <row r="259" spans="2:27" ht="15" thickBot="1" x14ac:dyDescent="0.35"/>
    <row r="260" spans="2:27" x14ac:dyDescent="0.3">
      <c r="B260" s="8"/>
      <c r="C260" s="9"/>
      <c r="D260" s="9"/>
      <c r="E260" s="9"/>
      <c r="F260" s="9"/>
      <c r="G260" s="9"/>
      <c r="H260" s="9"/>
      <c r="I260" s="9"/>
      <c r="J260" s="9"/>
      <c r="K260" s="9"/>
      <c r="L260" s="9"/>
      <c r="M260" s="9"/>
      <c r="N260" s="9"/>
      <c r="O260" s="9"/>
      <c r="P260" s="9"/>
      <c r="Q260" s="9"/>
      <c r="R260" s="9"/>
      <c r="S260" s="9"/>
      <c r="T260" s="9"/>
      <c r="U260" s="9"/>
      <c r="V260" s="9"/>
      <c r="W260" s="9"/>
      <c r="X260" s="9"/>
      <c r="Y260" s="9"/>
      <c r="Z260" s="9"/>
      <c r="AA260" s="10"/>
    </row>
    <row r="261" spans="2:27" x14ac:dyDescent="0.3">
      <c r="B261" s="11"/>
      <c r="AA261" s="12"/>
    </row>
    <row r="262" spans="2:27" x14ac:dyDescent="0.3">
      <c r="B262" s="11"/>
      <c r="S262" s="678" t="s">
        <v>3204</v>
      </c>
      <c r="T262" s="678"/>
      <c r="U262" s="680" t="s">
        <v>3207</v>
      </c>
      <c r="V262" s="680"/>
      <c r="W262" s="680"/>
      <c r="X262" s="680"/>
      <c r="Y262" s="680"/>
      <c r="AA262" s="12"/>
    </row>
    <row r="263" spans="2:27" x14ac:dyDescent="0.3">
      <c r="B263" s="11"/>
      <c r="D263" s="75" t="s">
        <v>2304</v>
      </c>
      <c r="E263" s="40"/>
      <c r="F263" s="40"/>
      <c r="G263" s="40"/>
      <c r="H263" s="40"/>
      <c r="I263" s="40"/>
      <c r="J263" s="40"/>
      <c r="K263" s="40"/>
      <c r="L263" s="40"/>
      <c r="M263" s="40"/>
      <c r="N263" s="40"/>
      <c r="O263" s="40"/>
      <c r="P263" s="40"/>
      <c r="Q263" s="40"/>
      <c r="R263" s="45"/>
      <c r="S263" s="696">
        <f>W58+S85+Q112+O154+L180+L199+L231+O247</f>
        <v>0</v>
      </c>
      <c r="T263" s="697"/>
      <c r="W263" s="694">
        <f>Y58+W85+W112+W154+W180+W199+W231+W247</f>
        <v>36</v>
      </c>
      <c r="X263" s="695"/>
      <c r="AA263" s="12"/>
    </row>
    <row r="264" spans="2:27" x14ac:dyDescent="0.3">
      <c r="B264" s="11"/>
      <c r="U264" s="547"/>
      <c r="AA264" s="12"/>
    </row>
    <row r="265" spans="2:27" x14ac:dyDescent="0.3">
      <c r="B265" s="11"/>
      <c r="AA265" s="12"/>
    </row>
    <row r="266" spans="2:27" x14ac:dyDescent="0.3">
      <c r="B266" s="11"/>
      <c r="D266" s="70" t="s">
        <v>2472</v>
      </c>
      <c r="AA266" s="12"/>
    </row>
    <row r="267" spans="2:27" x14ac:dyDescent="0.3">
      <c r="B267" s="11"/>
      <c r="D267" s="652"/>
      <c r="E267" s="653"/>
      <c r="F267" s="653"/>
      <c r="G267" s="653"/>
      <c r="H267" s="653"/>
      <c r="I267" s="653"/>
      <c r="J267" s="653"/>
      <c r="K267" s="653"/>
      <c r="L267" s="653"/>
      <c r="M267" s="653"/>
      <c r="N267" s="653"/>
      <c r="O267" s="653"/>
      <c r="P267" s="653"/>
      <c r="Q267" s="653"/>
      <c r="R267" s="653"/>
      <c r="S267" s="653"/>
      <c r="T267" s="653"/>
      <c r="U267" s="653"/>
      <c r="V267" s="653"/>
      <c r="W267" s="653"/>
      <c r="X267" s="654"/>
      <c r="AA267" s="12"/>
    </row>
    <row r="268" spans="2:27" x14ac:dyDescent="0.3">
      <c r="B268" s="11"/>
      <c r="D268" s="655"/>
      <c r="E268" s="656"/>
      <c r="F268" s="656"/>
      <c r="G268" s="656"/>
      <c r="H268" s="656"/>
      <c r="I268" s="656"/>
      <c r="J268" s="656"/>
      <c r="K268" s="656"/>
      <c r="L268" s="656"/>
      <c r="M268" s="656"/>
      <c r="N268" s="656"/>
      <c r="O268" s="656"/>
      <c r="P268" s="656"/>
      <c r="Q268" s="656"/>
      <c r="R268" s="656"/>
      <c r="S268" s="656"/>
      <c r="T268" s="656"/>
      <c r="U268" s="656"/>
      <c r="V268" s="656"/>
      <c r="W268" s="656"/>
      <c r="X268" s="657"/>
      <c r="AA268" s="12"/>
    </row>
    <row r="269" spans="2:27" x14ac:dyDescent="0.3">
      <c r="B269" s="11"/>
      <c r="D269" s="655"/>
      <c r="E269" s="656"/>
      <c r="F269" s="656"/>
      <c r="G269" s="656"/>
      <c r="H269" s="656"/>
      <c r="I269" s="656"/>
      <c r="J269" s="656"/>
      <c r="K269" s="656"/>
      <c r="L269" s="656"/>
      <c r="M269" s="656"/>
      <c r="N269" s="656"/>
      <c r="O269" s="656"/>
      <c r="P269" s="656"/>
      <c r="Q269" s="656"/>
      <c r="R269" s="656"/>
      <c r="S269" s="656"/>
      <c r="T269" s="656"/>
      <c r="U269" s="656"/>
      <c r="V269" s="656"/>
      <c r="W269" s="656"/>
      <c r="X269" s="657"/>
      <c r="AA269" s="12"/>
    </row>
    <row r="270" spans="2:27" x14ac:dyDescent="0.3">
      <c r="B270" s="11"/>
      <c r="D270" s="655"/>
      <c r="E270" s="656"/>
      <c r="F270" s="656"/>
      <c r="G270" s="656"/>
      <c r="H270" s="656"/>
      <c r="I270" s="656"/>
      <c r="J270" s="656"/>
      <c r="K270" s="656"/>
      <c r="L270" s="656"/>
      <c r="M270" s="656"/>
      <c r="N270" s="656"/>
      <c r="O270" s="656"/>
      <c r="P270" s="656"/>
      <c r="Q270" s="656"/>
      <c r="R270" s="656"/>
      <c r="S270" s="656"/>
      <c r="T270" s="656"/>
      <c r="U270" s="656"/>
      <c r="V270" s="656"/>
      <c r="W270" s="656"/>
      <c r="X270" s="657"/>
      <c r="AA270" s="12"/>
    </row>
    <row r="271" spans="2:27" x14ac:dyDescent="0.3">
      <c r="B271" s="11"/>
      <c r="D271" s="655"/>
      <c r="E271" s="656"/>
      <c r="F271" s="656"/>
      <c r="G271" s="656"/>
      <c r="H271" s="656"/>
      <c r="I271" s="656"/>
      <c r="J271" s="656"/>
      <c r="K271" s="656"/>
      <c r="L271" s="656"/>
      <c r="M271" s="656"/>
      <c r="N271" s="656"/>
      <c r="O271" s="656"/>
      <c r="P271" s="656"/>
      <c r="Q271" s="656"/>
      <c r="R271" s="656"/>
      <c r="S271" s="656"/>
      <c r="T271" s="656"/>
      <c r="U271" s="656"/>
      <c r="V271" s="656"/>
      <c r="W271" s="656"/>
      <c r="X271" s="657"/>
      <c r="AA271" s="12"/>
    </row>
    <row r="272" spans="2:27" x14ac:dyDescent="0.3">
      <c r="B272" s="11"/>
      <c r="D272" s="655"/>
      <c r="E272" s="656"/>
      <c r="F272" s="656"/>
      <c r="G272" s="656"/>
      <c r="H272" s="656"/>
      <c r="I272" s="656"/>
      <c r="J272" s="656"/>
      <c r="K272" s="656"/>
      <c r="L272" s="656"/>
      <c r="M272" s="656"/>
      <c r="N272" s="656"/>
      <c r="O272" s="656"/>
      <c r="P272" s="656"/>
      <c r="Q272" s="656"/>
      <c r="R272" s="656"/>
      <c r="S272" s="656"/>
      <c r="T272" s="656"/>
      <c r="U272" s="656"/>
      <c r="V272" s="656"/>
      <c r="W272" s="656"/>
      <c r="X272" s="657"/>
      <c r="AA272" s="12"/>
    </row>
    <row r="273" spans="2:27" x14ac:dyDescent="0.3">
      <c r="B273" s="11"/>
      <c r="D273" s="655"/>
      <c r="E273" s="656"/>
      <c r="F273" s="656"/>
      <c r="G273" s="656"/>
      <c r="H273" s="656"/>
      <c r="I273" s="656"/>
      <c r="J273" s="656"/>
      <c r="K273" s="656"/>
      <c r="L273" s="656"/>
      <c r="M273" s="656"/>
      <c r="N273" s="656"/>
      <c r="O273" s="656"/>
      <c r="P273" s="656"/>
      <c r="Q273" s="656"/>
      <c r="R273" s="656"/>
      <c r="S273" s="656"/>
      <c r="T273" s="656"/>
      <c r="U273" s="656"/>
      <c r="V273" s="656"/>
      <c r="W273" s="656"/>
      <c r="X273" s="657"/>
      <c r="AA273" s="12"/>
    </row>
    <row r="274" spans="2:27" x14ac:dyDescent="0.3">
      <c r="B274" s="11"/>
      <c r="D274" s="655"/>
      <c r="E274" s="656"/>
      <c r="F274" s="656"/>
      <c r="G274" s="656"/>
      <c r="H274" s="656"/>
      <c r="I274" s="656"/>
      <c r="J274" s="656"/>
      <c r="K274" s="656"/>
      <c r="L274" s="656"/>
      <c r="M274" s="656"/>
      <c r="N274" s="656"/>
      <c r="O274" s="656"/>
      <c r="P274" s="656"/>
      <c r="Q274" s="656"/>
      <c r="R274" s="656"/>
      <c r="S274" s="656"/>
      <c r="T274" s="656"/>
      <c r="U274" s="656"/>
      <c r="V274" s="656"/>
      <c r="W274" s="656"/>
      <c r="X274" s="657"/>
      <c r="AA274" s="12"/>
    </row>
    <row r="275" spans="2:27" x14ac:dyDescent="0.3">
      <c r="B275" s="11"/>
      <c r="D275" s="655"/>
      <c r="E275" s="656"/>
      <c r="F275" s="656"/>
      <c r="G275" s="656"/>
      <c r="H275" s="656"/>
      <c r="I275" s="656"/>
      <c r="J275" s="656"/>
      <c r="K275" s="656"/>
      <c r="L275" s="656"/>
      <c r="M275" s="656"/>
      <c r="N275" s="656"/>
      <c r="O275" s="656"/>
      <c r="P275" s="656"/>
      <c r="Q275" s="656"/>
      <c r="R275" s="656"/>
      <c r="S275" s="656"/>
      <c r="T275" s="656"/>
      <c r="U275" s="656"/>
      <c r="V275" s="656"/>
      <c r="W275" s="656"/>
      <c r="X275" s="657"/>
      <c r="AA275" s="12"/>
    </row>
    <row r="276" spans="2:27" x14ac:dyDescent="0.3">
      <c r="B276" s="11"/>
      <c r="D276" s="658"/>
      <c r="E276" s="659"/>
      <c r="F276" s="659"/>
      <c r="G276" s="659"/>
      <c r="H276" s="659"/>
      <c r="I276" s="659"/>
      <c r="J276" s="659"/>
      <c r="K276" s="659"/>
      <c r="L276" s="659"/>
      <c r="M276" s="659"/>
      <c r="N276" s="659"/>
      <c r="O276" s="659"/>
      <c r="P276" s="659"/>
      <c r="Q276" s="659"/>
      <c r="R276" s="659"/>
      <c r="S276" s="659"/>
      <c r="T276" s="659"/>
      <c r="U276" s="659"/>
      <c r="V276" s="659"/>
      <c r="W276" s="659"/>
      <c r="X276" s="660"/>
      <c r="AA276" s="12"/>
    </row>
    <row r="277" spans="2:27" x14ac:dyDescent="0.3">
      <c r="B277" s="11"/>
      <c r="AA277" s="12"/>
    </row>
    <row r="278" spans="2:27" ht="15" thickBot="1" x14ac:dyDescent="0.35">
      <c r="B278" s="13"/>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c r="AA278" s="15"/>
    </row>
  </sheetData>
  <sheetProtection algorithmName="SHA-512" hashValue="pfb5QQUi2wy+OHWMcwb713+TwUV9RzwQMZ/pV9eaD3lERFlgt+1jTT+HvuALXCHgJ8ME6j+yz3KSjPhZCqLX8g==" saltValue="1oBmIlEmJ/Zq0qynyi5C6Q==" spinCount="100000" sheet="1" objects="1" scenarios="1"/>
  <mergeCells count="249">
    <mergeCell ref="W228:X228"/>
    <mergeCell ref="W231:X231"/>
    <mergeCell ref="W247:X247"/>
    <mergeCell ref="I146:J146"/>
    <mergeCell ref="L135:M135"/>
    <mergeCell ref="L136:M137"/>
    <mergeCell ref="L150:M150"/>
    <mergeCell ref="O150:P150"/>
    <mergeCell ref="O247:P247"/>
    <mergeCell ref="L228:M228"/>
    <mergeCell ref="L231:M231"/>
    <mergeCell ref="O242:P242"/>
    <mergeCell ref="O243:P243"/>
    <mergeCell ref="O246:P246"/>
    <mergeCell ref="L199:M199"/>
    <mergeCell ref="L198:M198"/>
    <mergeCell ref="I199:J199"/>
    <mergeCell ref="I215:J215"/>
    <mergeCell ref="I216:J216"/>
    <mergeCell ref="L229:M229"/>
    <mergeCell ref="L230:M230"/>
    <mergeCell ref="I144:J144"/>
    <mergeCell ref="E111:M111"/>
    <mergeCell ref="C220:U225"/>
    <mergeCell ref="I180:J180"/>
    <mergeCell ref="I173:J173"/>
    <mergeCell ref="I172:J172"/>
    <mergeCell ref="I171:J171"/>
    <mergeCell ref="I175:J175"/>
    <mergeCell ref="I147:J147"/>
    <mergeCell ref="I148:J148"/>
    <mergeCell ref="I141:J141"/>
    <mergeCell ref="L141:M141"/>
    <mergeCell ref="I143:J143"/>
    <mergeCell ref="I145:J145"/>
    <mergeCell ref="D203:X207"/>
    <mergeCell ref="W180:X180"/>
    <mergeCell ref="W199:X199"/>
    <mergeCell ref="L134:M134"/>
    <mergeCell ref="D136:H137"/>
    <mergeCell ref="I133:J133"/>
    <mergeCell ref="I134:J134"/>
    <mergeCell ref="I135:J135"/>
    <mergeCell ref="I136:J137"/>
    <mergeCell ref="I128:J128"/>
    <mergeCell ref="K128:N129"/>
    <mergeCell ref="E112:M112"/>
    <mergeCell ref="R29:S29"/>
    <mergeCell ref="R32:S32"/>
    <mergeCell ref="R33:S33"/>
    <mergeCell ref="C104:M104"/>
    <mergeCell ref="C105:M105"/>
    <mergeCell ref="T46:U46"/>
    <mergeCell ref="T47:U47"/>
    <mergeCell ref="T48:U48"/>
    <mergeCell ref="T42:U42"/>
    <mergeCell ref="T43:U43"/>
    <mergeCell ref="T44:U44"/>
    <mergeCell ref="N104:R104"/>
    <mergeCell ref="N105:O105"/>
    <mergeCell ref="T52:U52"/>
    <mergeCell ref="P85:Q85"/>
    <mergeCell ref="P82:Q82"/>
    <mergeCell ref="P84:Q84"/>
    <mergeCell ref="C34:O34"/>
    <mergeCell ref="P34:Q34"/>
    <mergeCell ref="R34:S34"/>
    <mergeCell ref="T34:U34"/>
    <mergeCell ref="T51:U51"/>
    <mergeCell ref="P83:Q83"/>
    <mergeCell ref="S80:T80"/>
    <mergeCell ref="W56:X56"/>
    <mergeCell ref="W52:X52"/>
    <mergeCell ref="W48:X48"/>
    <mergeCell ref="W41:X41"/>
    <mergeCell ref="R25:S25"/>
    <mergeCell ref="R26:S26"/>
    <mergeCell ref="Y58:Z58"/>
    <mergeCell ref="T60:U60"/>
    <mergeCell ref="Y33:Z33"/>
    <mergeCell ref="W34:X34"/>
    <mergeCell ref="Y31:Z31"/>
    <mergeCell ref="Y30:Z30"/>
    <mergeCell ref="Y29:Z29"/>
    <mergeCell ref="Y32:Z32"/>
    <mergeCell ref="T33:U33"/>
    <mergeCell ref="T32:U32"/>
    <mergeCell ref="T30:U30"/>
    <mergeCell ref="T31:U31"/>
    <mergeCell ref="W33:X33"/>
    <mergeCell ref="W32:X32"/>
    <mergeCell ref="W31:X31"/>
    <mergeCell ref="W30:X30"/>
    <mergeCell ref="W29:X29"/>
    <mergeCell ref="Y34:Z34"/>
    <mergeCell ref="T56:U56"/>
    <mergeCell ref="T53:U53"/>
    <mergeCell ref="R27:S27"/>
    <mergeCell ref="C17:O17"/>
    <mergeCell ref="R17:S17"/>
    <mergeCell ref="R18:S18"/>
    <mergeCell ref="R19:S19"/>
    <mergeCell ref="R20:S20"/>
    <mergeCell ref="C33:O33"/>
    <mergeCell ref="C32:O32"/>
    <mergeCell ref="C31:O31"/>
    <mergeCell ref="C30:O30"/>
    <mergeCell ref="C29:O29"/>
    <mergeCell ref="C28:O28"/>
    <mergeCell ref="C27:O27"/>
    <mergeCell ref="C26:O26"/>
    <mergeCell ref="C25:O25"/>
    <mergeCell ref="R30:S30"/>
    <mergeCell ref="R31:S31"/>
    <mergeCell ref="C24:O24"/>
    <mergeCell ref="C23:O23"/>
    <mergeCell ref="C22:O22"/>
    <mergeCell ref="W53:X53"/>
    <mergeCell ref="C21:O21"/>
    <mergeCell ref="C20:O20"/>
    <mergeCell ref="C19:O19"/>
    <mergeCell ref="C18:O18"/>
    <mergeCell ref="R21:S21"/>
    <mergeCell ref="W26:X26"/>
    <mergeCell ref="W25:X25"/>
    <mergeCell ref="W24:X24"/>
    <mergeCell ref="W18:X18"/>
    <mergeCell ref="T22:U22"/>
    <mergeCell ref="T21:U21"/>
    <mergeCell ref="T20:U20"/>
    <mergeCell ref="R22:S22"/>
    <mergeCell ref="R23:S23"/>
    <mergeCell ref="R24:S24"/>
    <mergeCell ref="R28:S28"/>
    <mergeCell ref="Y28:Z28"/>
    <mergeCell ref="Y27:Z27"/>
    <mergeCell ref="Y26:Z26"/>
    <mergeCell ref="Y25:Z25"/>
    <mergeCell ref="Y24:Z24"/>
    <mergeCell ref="Y23:Z23"/>
    <mergeCell ref="W28:X28"/>
    <mergeCell ref="W27:X27"/>
    <mergeCell ref="T24:U24"/>
    <mergeCell ref="T23:U23"/>
    <mergeCell ref="W13:X13"/>
    <mergeCell ref="Y22:Z22"/>
    <mergeCell ref="Y21:Z21"/>
    <mergeCell ref="Y20:Z20"/>
    <mergeCell ref="Y19:Z19"/>
    <mergeCell ref="Y18:Z18"/>
    <mergeCell ref="Y17:Z17"/>
    <mergeCell ref="W20:X20"/>
    <mergeCell ref="W19:X19"/>
    <mergeCell ref="AA4:AB4"/>
    <mergeCell ref="W12:Z12"/>
    <mergeCell ref="T28:U28"/>
    <mergeCell ref="T27:U27"/>
    <mergeCell ref="I140:J140"/>
    <mergeCell ref="L152:M152"/>
    <mergeCell ref="L148:M148"/>
    <mergeCell ref="W17:X17"/>
    <mergeCell ref="P26:Q26"/>
    <mergeCell ref="P25:Q25"/>
    <mergeCell ref="P24:Q24"/>
    <mergeCell ref="P23:Q23"/>
    <mergeCell ref="P22:Q22"/>
    <mergeCell ref="P21:Q21"/>
    <mergeCell ref="P33:Q33"/>
    <mergeCell ref="P32:Q32"/>
    <mergeCell ref="P31:Q31"/>
    <mergeCell ref="P30:Q30"/>
    <mergeCell ref="W23:X23"/>
    <mergeCell ref="W22:X22"/>
    <mergeCell ref="W21:X21"/>
    <mergeCell ref="P12:U12"/>
    <mergeCell ref="T19:U19"/>
    <mergeCell ref="Y13:Z13"/>
    <mergeCell ref="P14:Q16"/>
    <mergeCell ref="R14:S16"/>
    <mergeCell ref="T13:U16"/>
    <mergeCell ref="W14:X16"/>
    <mergeCell ref="Y14:Z16"/>
    <mergeCell ref="C35:O35"/>
    <mergeCell ref="P35:Q35"/>
    <mergeCell ref="R35:S35"/>
    <mergeCell ref="T35:U35"/>
    <mergeCell ref="W35:X35"/>
    <mergeCell ref="Y35:Z35"/>
    <mergeCell ref="T18:U18"/>
    <mergeCell ref="T17:U17"/>
    <mergeCell ref="T29:U29"/>
    <mergeCell ref="P20:Q20"/>
    <mergeCell ref="P19:Q19"/>
    <mergeCell ref="P18:Q18"/>
    <mergeCell ref="P29:Q29"/>
    <mergeCell ref="P28:Q28"/>
    <mergeCell ref="P27:Q27"/>
    <mergeCell ref="P17:Q17"/>
    <mergeCell ref="P13:S13"/>
    <mergeCell ref="T26:U26"/>
    <mergeCell ref="T25:U25"/>
    <mergeCell ref="D267:X276"/>
    <mergeCell ref="W263:X263"/>
    <mergeCell ref="S263:T263"/>
    <mergeCell ref="W58:X58"/>
    <mergeCell ref="E63:Y72"/>
    <mergeCell ref="E88:Y92"/>
    <mergeCell ref="E109:M109"/>
    <mergeCell ref="N109:O109"/>
    <mergeCell ref="E116:Y120"/>
    <mergeCell ref="L153:M153"/>
    <mergeCell ref="D158:X162"/>
    <mergeCell ref="D184:X188"/>
    <mergeCell ref="L180:M180"/>
    <mergeCell ref="O154:P154"/>
    <mergeCell ref="I129:J129"/>
    <mergeCell ref="I130:J130"/>
    <mergeCell ref="L130:M130"/>
    <mergeCell ref="N110:O110"/>
    <mergeCell ref="I196:J196"/>
    <mergeCell ref="I176:J176"/>
    <mergeCell ref="I174:J174"/>
    <mergeCell ref="W85:X85"/>
    <mergeCell ref="S85:T85"/>
    <mergeCell ref="N111:O111"/>
    <mergeCell ref="X57:AA57"/>
    <mergeCell ref="S84:T84"/>
    <mergeCell ref="Q111:R111"/>
    <mergeCell ref="O153:P153"/>
    <mergeCell ref="S262:T262"/>
    <mergeCell ref="U262:Y262"/>
    <mergeCell ref="U246:Y246"/>
    <mergeCell ref="U230:Y230"/>
    <mergeCell ref="U198:Y198"/>
    <mergeCell ref="U179:Y179"/>
    <mergeCell ref="U153:Y153"/>
    <mergeCell ref="U111:Y111"/>
    <mergeCell ref="U84:Y84"/>
    <mergeCell ref="D250:X254"/>
    <mergeCell ref="N112:O112"/>
    <mergeCell ref="L179:M179"/>
    <mergeCell ref="L154:M154"/>
    <mergeCell ref="W112:X112"/>
    <mergeCell ref="W152:X152"/>
    <mergeCell ref="W154:X154"/>
    <mergeCell ref="Q109:R109"/>
    <mergeCell ref="Q112:R112"/>
    <mergeCell ref="E110:M110"/>
    <mergeCell ref="L133:M133"/>
  </mergeCells>
  <phoneticPr fontId="15" type="noConversion"/>
  <conditionalFormatting sqref="S82:Y82">
    <cfRule type="expression" dxfId="58" priority="1">
      <formula>$S$82&lt;&gt;""</formula>
    </cfRule>
  </conditionalFormatting>
  <conditionalFormatting sqref="W41:X41">
    <cfRule type="expression" dxfId="57" priority="2">
      <formula>$W$48="OK"</formula>
    </cfRule>
    <cfRule type="expression" dxfId="56" priority="3">
      <formula>$W$48="KO"</formula>
    </cfRule>
  </conditionalFormatting>
  <conditionalFormatting sqref="W48:X48">
    <cfRule type="expression" dxfId="55" priority="4">
      <formula>$W$48="OK"</formula>
    </cfRule>
    <cfRule type="expression" dxfId="54" priority="5">
      <formula>$W$48="KO"</formula>
    </cfRule>
  </conditionalFormatting>
  <dataValidations count="6">
    <dataValidation type="list" allowBlank="1" showInputMessage="1" showErrorMessage="1" sqref="O242:P243 T60:U60" xr:uid="{00000000-0002-0000-0500-000000000000}">
      <formula1>"Oui,Non"</formula1>
    </dataValidation>
    <dataValidation type="whole" allowBlank="1" showInputMessage="1" showErrorMessage="1" sqref="I215:J216" xr:uid="{00000000-0002-0000-0500-000001000000}">
      <formula1>0</formula1>
      <formula2>1000</formula2>
    </dataValidation>
    <dataValidation type="whole" allowBlank="1" showInputMessage="1" showErrorMessage="1" sqref="I196:J196" xr:uid="{00000000-0002-0000-0500-000002000000}">
      <formula1>0</formula1>
      <formula2>100000</formula2>
    </dataValidation>
    <dataValidation type="whole" allowBlank="1" showInputMessage="1" showErrorMessage="1" sqref="I171:J176" xr:uid="{00000000-0002-0000-0500-000003000000}">
      <formula1>0</formula1>
      <formula2>100</formula2>
    </dataValidation>
    <dataValidation type="whole" allowBlank="1" showInputMessage="1" showErrorMessage="1" sqref="I129:J130 I133:J133 I145:J148" xr:uid="{00000000-0002-0000-0500-000004000000}">
      <formula1>0</formula1>
      <formula2>10000</formula2>
    </dataValidation>
    <dataValidation type="custom" allowBlank="1" showInputMessage="1" showErrorMessage="1" sqref="N105:O105" xr:uid="{00000000-0002-0000-0500-000005000000}">
      <formula1>ISNUMBER(N105)</formula1>
    </dataValidation>
  </dataValidations>
  <pageMargins left="0.7" right="0.7" top="0.75" bottom="0.75" header="0.3" footer="0.3"/>
  <pageSetup paperSize="9" scale="52" fitToHeight="0" orientation="landscape" r:id="rId1"/>
  <ignoredErrors>
    <ignoredError sqref="N109 P83 S82" formulaRang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0070C0"/>
    <pageSetUpPr fitToPage="1"/>
  </sheetPr>
  <dimension ref="A1:AP398"/>
  <sheetViews>
    <sheetView showGridLines="0" zoomScaleNormal="100" workbookViewId="0">
      <pane ySplit="5" topLeftCell="A6" activePane="bottomLeft" state="frozen"/>
      <selection activeCell="AA19" sqref="AA19"/>
      <selection pane="bottomLeft" activeCell="L11" sqref="L11:N11"/>
    </sheetView>
  </sheetViews>
  <sheetFormatPr baseColWidth="10" defaultColWidth="9.109375" defaultRowHeight="14.4" x14ac:dyDescent="0.3"/>
  <cols>
    <col min="7" max="7" width="19.5546875" customWidth="1"/>
    <col min="8" max="8" width="9.88671875" customWidth="1"/>
    <col min="26" max="26" width="11.88671875" customWidth="1"/>
    <col min="28" max="28" width="12.109375" customWidth="1"/>
    <col min="29" max="29" width="14.44140625" bestFit="1" customWidth="1"/>
    <col min="30" max="30" width="7.109375" bestFit="1" customWidth="1"/>
    <col min="31" max="31" width="8.109375" customWidth="1"/>
    <col min="32" max="32" width="9" customWidth="1"/>
    <col min="33" max="33" width="7" hidden="1" customWidth="1"/>
    <col min="34" max="34" width="52.109375" hidden="1" customWidth="1"/>
    <col min="35" max="40" width="9.109375" hidden="1" customWidth="1"/>
    <col min="41" max="43" width="9.109375" customWidth="1"/>
  </cols>
  <sheetData>
    <row r="1" spans="1:30" x14ac:dyDescent="0.3">
      <c r="A1" s="26"/>
      <c r="B1" s="26"/>
      <c r="C1" s="26"/>
      <c r="D1" s="26"/>
      <c r="E1" s="26"/>
      <c r="F1" s="26"/>
      <c r="G1" s="26"/>
      <c r="H1" s="26"/>
      <c r="I1" s="26"/>
      <c r="J1" s="26"/>
      <c r="K1" s="72"/>
      <c r="L1" s="72"/>
      <c r="M1" s="72"/>
      <c r="N1" s="72"/>
      <c r="O1" s="26"/>
      <c r="P1" s="26"/>
      <c r="Q1" s="26"/>
      <c r="R1" s="26"/>
      <c r="S1" s="26"/>
      <c r="T1" s="26"/>
      <c r="U1" s="26"/>
      <c r="V1" s="26"/>
      <c r="W1" s="72" t="s">
        <v>701</v>
      </c>
      <c r="X1" s="26"/>
      <c r="Y1" s="26"/>
      <c r="Z1" s="26"/>
      <c r="AA1" s="26"/>
      <c r="AB1" s="26"/>
      <c r="AC1" s="26"/>
      <c r="AD1" s="26"/>
    </row>
    <row r="2" spans="1:30" x14ac:dyDescent="0.3">
      <c r="A2" s="26"/>
      <c r="B2" s="26"/>
      <c r="C2" s="26"/>
      <c r="D2" s="26"/>
      <c r="E2" s="26"/>
      <c r="F2" s="26"/>
      <c r="G2" s="26"/>
      <c r="H2" s="26"/>
      <c r="I2" s="26"/>
      <c r="J2" s="26"/>
      <c r="K2" s="72"/>
      <c r="L2" s="72"/>
      <c r="M2" s="72"/>
      <c r="N2" s="72"/>
      <c r="O2" s="26"/>
      <c r="P2" s="26"/>
      <c r="Q2" s="26"/>
      <c r="R2" s="26"/>
      <c r="S2" s="26"/>
      <c r="T2" s="26"/>
      <c r="U2" s="26"/>
      <c r="V2" s="26"/>
      <c r="W2" s="72" t="s">
        <v>702</v>
      </c>
      <c r="X2" s="26"/>
      <c r="Y2" s="26"/>
      <c r="Z2" s="26"/>
      <c r="AA2" s="26"/>
      <c r="AB2" s="26"/>
      <c r="AC2" s="26"/>
      <c r="AD2" s="26"/>
    </row>
    <row r="3" spans="1:30" x14ac:dyDescent="0.3">
      <c r="A3" s="26"/>
      <c r="B3" s="26"/>
      <c r="C3" s="26"/>
      <c r="D3" s="26"/>
      <c r="E3" s="26"/>
      <c r="F3" s="26"/>
      <c r="G3" s="26"/>
      <c r="H3" s="26"/>
      <c r="I3" s="26"/>
      <c r="J3" s="26"/>
      <c r="K3" s="72"/>
      <c r="L3" s="72"/>
      <c r="M3" s="72"/>
      <c r="N3" s="72"/>
      <c r="O3" s="26"/>
      <c r="P3" s="26"/>
      <c r="Q3" s="26"/>
      <c r="R3" s="26"/>
      <c r="S3" s="26"/>
      <c r="T3" s="26"/>
      <c r="U3" s="26"/>
      <c r="V3" s="26"/>
      <c r="W3" s="73" t="s">
        <v>577</v>
      </c>
      <c r="X3" s="26"/>
      <c r="Y3" s="26"/>
      <c r="Z3" s="26"/>
      <c r="AA3" s="26"/>
      <c r="AB3" s="26"/>
      <c r="AC3" s="26"/>
      <c r="AD3" s="26"/>
    </row>
    <row r="4" spans="1:30" x14ac:dyDescent="0.3">
      <c r="A4" s="26"/>
      <c r="B4" s="26"/>
      <c r="C4" s="26"/>
      <c r="D4" s="26"/>
      <c r="E4" s="26"/>
      <c r="F4" s="26"/>
      <c r="G4" s="26"/>
      <c r="H4" s="26"/>
      <c r="I4" s="26"/>
      <c r="J4" s="26"/>
      <c r="K4" s="26"/>
      <c r="L4" s="26"/>
      <c r="M4" s="26"/>
      <c r="N4" s="26"/>
      <c r="O4" s="26"/>
      <c r="P4" s="26"/>
      <c r="Q4" s="26"/>
      <c r="R4" s="26"/>
      <c r="S4" s="26"/>
      <c r="T4" s="26"/>
      <c r="U4" s="26"/>
      <c r="V4" s="26"/>
      <c r="W4" s="26"/>
      <c r="X4" s="26"/>
      <c r="Y4" s="26"/>
      <c r="Z4" s="26"/>
      <c r="AA4" s="26"/>
      <c r="AB4" s="661" t="str">
        <f>Accueil!I6</f>
        <v>Version 1.15</v>
      </c>
      <c r="AC4" s="661"/>
      <c r="AD4" s="193"/>
    </row>
    <row r="5" spans="1:30" x14ac:dyDescent="0.3">
      <c r="A5" s="26"/>
      <c r="B5" s="26"/>
      <c r="C5" s="26"/>
      <c r="D5" s="26"/>
      <c r="E5" s="26"/>
      <c r="F5" s="26"/>
      <c r="G5" s="26"/>
      <c r="H5" s="26"/>
      <c r="I5" s="26"/>
      <c r="J5" s="26"/>
      <c r="K5" s="26"/>
      <c r="L5" s="26"/>
      <c r="M5" s="26"/>
      <c r="N5" s="26"/>
      <c r="O5" s="26"/>
      <c r="P5" s="26"/>
      <c r="Q5" s="26"/>
      <c r="R5" s="26"/>
      <c r="S5" s="26"/>
      <c r="T5" s="26"/>
      <c r="U5" s="26"/>
      <c r="V5" s="26"/>
      <c r="W5" s="26"/>
      <c r="X5" s="26"/>
      <c r="Y5" s="26"/>
      <c r="Z5" s="26"/>
      <c r="AA5" s="26"/>
      <c r="AB5" s="26"/>
      <c r="AC5" s="26"/>
      <c r="AD5" s="26"/>
    </row>
    <row r="7" spans="1:30" ht="15" thickBot="1" x14ac:dyDescent="0.35"/>
    <row r="8" spans="1:30" x14ac:dyDescent="0.3">
      <c r="B8" s="16"/>
      <c r="C8" s="17"/>
      <c r="D8" s="17"/>
      <c r="E8" s="17"/>
      <c r="F8" s="17"/>
      <c r="G8" s="17"/>
      <c r="H8" s="17"/>
      <c r="I8" s="17"/>
      <c r="J8" s="17"/>
      <c r="K8" s="17"/>
      <c r="L8" s="17"/>
      <c r="M8" s="17"/>
      <c r="N8" s="17"/>
      <c r="O8" s="17"/>
      <c r="P8" s="17"/>
      <c r="Q8" s="17"/>
      <c r="R8" s="17"/>
      <c r="S8" s="17"/>
      <c r="T8" s="17"/>
      <c r="U8" s="17"/>
      <c r="V8" s="17"/>
      <c r="W8" s="17"/>
      <c r="X8" s="17"/>
      <c r="Y8" s="18"/>
    </row>
    <row r="9" spans="1:30" x14ac:dyDescent="0.3">
      <c r="B9" s="19"/>
      <c r="P9" s="678"/>
      <c r="Q9" s="678"/>
      <c r="Y9" s="20"/>
    </row>
    <row r="10" spans="1:30" x14ac:dyDescent="0.3">
      <c r="B10" s="19"/>
      <c r="S10" s="890"/>
      <c r="T10" s="890"/>
      <c r="U10" s="65"/>
      <c r="Y10" s="20"/>
    </row>
    <row r="11" spans="1:30" x14ac:dyDescent="0.3">
      <c r="B11" s="19"/>
      <c r="D11" s="47" t="s">
        <v>2554</v>
      </c>
      <c r="E11" s="47"/>
      <c r="F11" s="47"/>
      <c r="G11" s="47"/>
      <c r="H11" s="47"/>
      <c r="I11" s="47"/>
      <c r="J11" s="47"/>
      <c r="K11" s="43"/>
      <c r="L11" s="747"/>
      <c r="M11" s="790"/>
      <c r="N11" s="748"/>
      <c r="O11" s="549" t="str">
        <f>IF(ISBLANK(UTILISATION_CMR1),"   A saisir pour le calcul des points","")</f>
        <v xml:space="preserve">   A saisir pour le calcul des points</v>
      </c>
      <c r="S11" s="894" t="str">
        <f>IF(UTILISATION_CMR1="Oui","INVALIDATION DE L'AUDIT","")</f>
        <v/>
      </c>
      <c r="T11" s="894"/>
      <c r="U11" s="894"/>
      <c r="V11" s="894"/>
      <c r="Y11" s="20"/>
    </row>
    <row r="12" spans="1:30" x14ac:dyDescent="0.3">
      <c r="B12" s="19"/>
      <c r="L12" s="141"/>
      <c r="Y12" s="20"/>
    </row>
    <row r="13" spans="1:30" x14ac:dyDescent="0.3">
      <c r="B13" s="19"/>
      <c r="D13" s="42" t="s">
        <v>293</v>
      </c>
      <c r="Y13" s="20"/>
    </row>
    <row r="14" spans="1:30" x14ac:dyDescent="0.3">
      <c r="B14" s="19"/>
      <c r="D14" s="652"/>
      <c r="E14" s="653"/>
      <c r="F14" s="653"/>
      <c r="G14" s="653"/>
      <c r="H14" s="653"/>
      <c r="I14" s="653"/>
      <c r="J14" s="653"/>
      <c r="K14" s="653"/>
      <c r="L14" s="653"/>
      <c r="M14" s="653"/>
      <c r="N14" s="653"/>
      <c r="O14" s="653"/>
      <c r="P14" s="653"/>
      <c r="Q14" s="653"/>
      <c r="R14" s="653"/>
      <c r="S14" s="653"/>
      <c r="T14" s="653"/>
      <c r="U14" s="653"/>
      <c r="V14" s="654"/>
      <c r="Y14" s="20"/>
    </row>
    <row r="15" spans="1:30" x14ac:dyDescent="0.3">
      <c r="B15" s="19"/>
      <c r="D15" s="655"/>
      <c r="E15" s="656"/>
      <c r="F15" s="656"/>
      <c r="G15" s="656"/>
      <c r="H15" s="656"/>
      <c r="I15" s="656"/>
      <c r="J15" s="656"/>
      <c r="K15" s="656"/>
      <c r="L15" s="656"/>
      <c r="M15" s="656"/>
      <c r="N15" s="656"/>
      <c r="O15" s="656"/>
      <c r="P15" s="656"/>
      <c r="Q15" s="656"/>
      <c r="R15" s="656"/>
      <c r="S15" s="656"/>
      <c r="T15" s="656"/>
      <c r="U15" s="656"/>
      <c r="V15" s="657"/>
      <c r="Y15" s="20"/>
    </row>
    <row r="16" spans="1:30" x14ac:dyDescent="0.3">
      <c r="B16" s="19"/>
      <c r="D16" s="655"/>
      <c r="E16" s="656"/>
      <c r="F16" s="656"/>
      <c r="G16" s="656"/>
      <c r="H16" s="656"/>
      <c r="I16" s="656"/>
      <c r="J16" s="656"/>
      <c r="K16" s="656"/>
      <c r="L16" s="656"/>
      <c r="M16" s="656"/>
      <c r="N16" s="656"/>
      <c r="O16" s="656"/>
      <c r="P16" s="656"/>
      <c r="Q16" s="656"/>
      <c r="R16" s="656"/>
      <c r="S16" s="656"/>
      <c r="T16" s="656"/>
      <c r="U16" s="656"/>
      <c r="V16" s="657"/>
      <c r="Y16" s="20"/>
    </row>
    <row r="17" spans="2:25" x14ac:dyDescent="0.3">
      <c r="B17" s="19"/>
      <c r="D17" s="655"/>
      <c r="E17" s="656"/>
      <c r="F17" s="656"/>
      <c r="G17" s="656"/>
      <c r="H17" s="656"/>
      <c r="I17" s="656"/>
      <c r="J17" s="656"/>
      <c r="K17" s="656"/>
      <c r="L17" s="656"/>
      <c r="M17" s="656"/>
      <c r="N17" s="656"/>
      <c r="O17" s="656"/>
      <c r="P17" s="656"/>
      <c r="Q17" s="656"/>
      <c r="R17" s="656"/>
      <c r="S17" s="656"/>
      <c r="T17" s="656"/>
      <c r="U17" s="656"/>
      <c r="V17" s="657"/>
      <c r="Y17" s="20"/>
    </row>
    <row r="18" spans="2:25" x14ac:dyDescent="0.3">
      <c r="B18" s="19"/>
      <c r="D18" s="658"/>
      <c r="E18" s="659"/>
      <c r="F18" s="659"/>
      <c r="G18" s="659"/>
      <c r="H18" s="659"/>
      <c r="I18" s="659"/>
      <c r="J18" s="659"/>
      <c r="K18" s="659"/>
      <c r="L18" s="659"/>
      <c r="M18" s="659"/>
      <c r="N18" s="659"/>
      <c r="O18" s="659"/>
      <c r="P18" s="659"/>
      <c r="Q18" s="659"/>
      <c r="R18" s="659"/>
      <c r="S18" s="659"/>
      <c r="T18" s="659"/>
      <c r="U18" s="659"/>
      <c r="V18" s="660"/>
      <c r="Y18" s="20"/>
    </row>
    <row r="19" spans="2:25" x14ac:dyDescent="0.3">
      <c r="B19" s="19"/>
      <c r="D19" s="95"/>
      <c r="E19" s="95"/>
      <c r="F19" s="95"/>
      <c r="G19" s="95"/>
      <c r="H19" s="95"/>
      <c r="I19" s="95"/>
      <c r="J19" s="95"/>
      <c r="K19" s="95"/>
      <c r="L19" s="95"/>
      <c r="M19" s="95"/>
      <c r="N19" s="95"/>
      <c r="O19" s="95"/>
      <c r="P19" s="95"/>
      <c r="Q19" s="95"/>
      <c r="R19" s="95"/>
      <c r="S19" s="95"/>
      <c r="T19" s="95"/>
      <c r="U19" s="95"/>
      <c r="V19" s="95"/>
      <c r="Y19" s="20"/>
    </row>
    <row r="20" spans="2:25" x14ac:dyDescent="0.3">
      <c r="B20" s="19"/>
      <c r="D20" s="95"/>
      <c r="E20" s="95"/>
      <c r="F20" s="95"/>
      <c r="G20" s="95"/>
      <c r="H20" s="95"/>
      <c r="I20" s="95"/>
      <c r="J20" s="95"/>
      <c r="K20" s="95"/>
      <c r="L20" s="95"/>
      <c r="M20" s="95"/>
      <c r="N20" s="95"/>
      <c r="O20" s="95"/>
      <c r="R20" s="95"/>
      <c r="S20" s="95"/>
      <c r="T20" s="95"/>
      <c r="U20" s="95"/>
      <c r="V20" s="95"/>
      <c r="Y20" s="20"/>
    </row>
    <row r="21" spans="2:25" x14ac:dyDescent="0.3">
      <c r="B21" s="19"/>
      <c r="D21" s="95"/>
      <c r="E21" s="95"/>
      <c r="F21" s="95"/>
      <c r="G21" s="95"/>
      <c r="H21" s="95"/>
      <c r="I21" s="95"/>
      <c r="J21" s="95"/>
      <c r="K21" s="95"/>
      <c r="L21" s="95"/>
      <c r="M21" s="95"/>
      <c r="N21" s="95"/>
      <c r="O21" s="95"/>
      <c r="P21" s="678" t="s">
        <v>3204</v>
      </c>
      <c r="Q21" s="678"/>
      <c r="R21" s="95"/>
      <c r="S21" s="95"/>
      <c r="T21" s="95"/>
      <c r="U21" s="95"/>
      <c r="V21" s="95"/>
      <c r="Y21" s="20"/>
    </row>
    <row r="22" spans="2:25" x14ac:dyDescent="0.3">
      <c r="B22" s="19"/>
      <c r="D22" s="40" t="s">
        <v>2562</v>
      </c>
      <c r="E22" s="75"/>
      <c r="F22" s="75"/>
      <c r="G22" s="75"/>
      <c r="H22" s="75"/>
      <c r="I22" s="75"/>
      <c r="J22" s="75"/>
      <c r="K22" s="75"/>
      <c r="L22" s="100"/>
      <c r="M22" s="893"/>
      <c r="N22" s="893"/>
      <c r="P22" s="782">
        <f>IF(M22="",0,IF(OR(M22="Oui",UTILISATION_CMR1="Oui"),0,1))</f>
        <v>0</v>
      </c>
      <c r="Q22" s="783"/>
      <c r="Y22" s="20"/>
    </row>
    <row r="23" spans="2:25" x14ac:dyDescent="0.3">
      <c r="B23" s="19"/>
      <c r="D23" s="77" t="s">
        <v>2563</v>
      </c>
      <c r="E23" s="76"/>
      <c r="F23" s="76"/>
      <c r="G23" s="76"/>
      <c r="H23" s="76"/>
      <c r="I23" s="76"/>
      <c r="J23" s="76"/>
      <c r="K23" s="76"/>
      <c r="L23" s="101"/>
      <c r="M23" s="893"/>
      <c r="N23" s="893"/>
      <c r="P23" s="782">
        <f>IF(M23="",0,IF(OR(M23="Oui",UTILISATION_CMR1="Oui"),0,1))</f>
        <v>0</v>
      </c>
      <c r="Q23" s="783"/>
      <c r="Y23" s="20"/>
    </row>
    <row r="24" spans="2:25" x14ac:dyDescent="0.3">
      <c r="B24" s="19"/>
      <c r="V24" s="680" t="s">
        <v>3205</v>
      </c>
      <c r="W24" s="680"/>
      <c r="X24" s="680"/>
      <c r="Y24" s="681"/>
    </row>
    <row r="25" spans="2:25" x14ac:dyDescent="0.3">
      <c r="B25" s="19"/>
      <c r="D25" s="75" t="s">
        <v>2305</v>
      </c>
      <c r="E25" s="75"/>
      <c r="F25" s="75"/>
      <c r="G25" s="75"/>
      <c r="H25" s="75"/>
      <c r="I25" s="75"/>
      <c r="J25" s="75"/>
      <c r="K25" s="75"/>
      <c r="L25" s="75"/>
      <c r="M25" s="75"/>
      <c r="N25" s="75"/>
      <c r="O25" s="100"/>
      <c r="P25" s="782">
        <f>IF(ISBLANK(L11),0,SUM(P22:Q23))</f>
        <v>0</v>
      </c>
      <c r="Q25" s="783"/>
      <c r="W25" s="862">
        <v>2</v>
      </c>
      <c r="X25" s="863"/>
      <c r="Y25" s="20"/>
    </row>
    <row r="26" spans="2:25" x14ac:dyDescent="0.3">
      <c r="B26" s="19"/>
      <c r="Y26" s="20"/>
    </row>
    <row r="27" spans="2:25" x14ac:dyDescent="0.3">
      <c r="B27" s="19"/>
      <c r="D27" s="42" t="s">
        <v>2472</v>
      </c>
      <c r="Y27" s="20"/>
    </row>
    <row r="28" spans="2:25" x14ac:dyDescent="0.3">
      <c r="B28" s="19"/>
      <c r="D28" s="652"/>
      <c r="E28" s="653"/>
      <c r="F28" s="653"/>
      <c r="G28" s="653"/>
      <c r="H28" s="653"/>
      <c r="I28" s="653"/>
      <c r="J28" s="653"/>
      <c r="K28" s="653"/>
      <c r="L28" s="653"/>
      <c r="M28" s="653"/>
      <c r="N28" s="653"/>
      <c r="O28" s="653"/>
      <c r="P28" s="653"/>
      <c r="Q28" s="653"/>
      <c r="R28" s="653"/>
      <c r="S28" s="653"/>
      <c r="T28" s="653"/>
      <c r="U28" s="653"/>
      <c r="V28" s="654"/>
      <c r="Y28" s="20"/>
    </row>
    <row r="29" spans="2:25" x14ac:dyDescent="0.3">
      <c r="B29" s="19"/>
      <c r="D29" s="655"/>
      <c r="E29" s="656"/>
      <c r="F29" s="656"/>
      <c r="G29" s="656"/>
      <c r="H29" s="656"/>
      <c r="I29" s="656"/>
      <c r="J29" s="656"/>
      <c r="K29" s="656"/>
      <c r="L29" s="656"/>
      <c r="M29" s="656"/>
      <c r="N29" s="656"/>
      <c r="O29" s="656"/>
      <c r="P29" s="656"/>
      <c r="Q29" s="656"/>
      <c r="R29" s="656"/>
      <c r="S29" s="656"/>
      <c r="T29" s="656"/>
      <c r="U29" s="656"/>
      <c r="V29" s="657"/>
      <c r="Y29" s="20"/>
    </row>
    <row r="30" spans="2:25" x14ac:dyDescent="0.3">
      <c r="B30" s="19"/>
      <c r="D30" s="655"/>
      <c r="E30" s="656"/>
      <c r="F30" s="656"/>
      <c r="G30" s="656"/>
      <c r="H30" s="656"/>
      <c r="I30" s="656"/>
      <c r="J30" s="656"/>
      <c r="K30" s="656"/>
      <c r="L30" s="656"/>
      <c r="M30" s="656"/>
      <c r="N30" s="656"/>
      <c r="O30" s="656"/>
      <c r="P30" s="656"/>
      <c r="Q30" s="656"/>
      <c r="R30" s="656"/>
      <c r="S30" s="656"/>
      <c r="T30" s="656"/>
      <c r="U30" s="656"/>
      <c r="V30" s="657"/>
      <c r="Y30" s="20"/>
    </row>
    <row r="31" spans="2:25" x14ac:dyDescent="0.3">
      <c r="B31" s="19"/>
      <c r="D31" s="655"/>
      <c r="E31" s="656"/>
      <c r="F31" s="656"/>
      <c r="G31" s="656"/>
      <c r="H31" s="656"/>
      <c r="I31" s="656"/>
      <c r="J31" s="656"/>
      <c r="K31" s="656"/>
      <c r="L31" s="656"/>
      <c r="M31" s="656"/>
      <c r="N31" s="656"/>
      <c r="O31" s="656"/>
      <c r="P31" s="656"/>
      <c r="Q31" s="656"/>
      <c r="R31" s="656"/>
      <c r="S31" s="656"/>
      <c r="T31" s="656"/>
      <c r="U31" s="656"/>
      <c r="V31" s="657"/>
      <c r="Y31" s="20"/>
    </row>
    <row r="32" spans="2:25" x14ac:dyDescent="0.3">
      <c r="B32" s="19"/>
      <c r="D32" s="658"/>
      <c r="E32" s="659"/>
      <c r="F32" s="659"/>
      <c r="G32" s="659"/>
      <c r="H32" s="659"/>
      <c r="I32" s="659"/>
      <c r="J32" s="659"/>
      <c r="K32" s="659"/>
      <c r="L32" s="659"/>
      <c r="M32" s="659"/>
      <c r="N32" s="659"/>
      <c r="O32" s="659"/>
      <c r="P32" s="659"/>
      <c r="Q32" s="659"/>
      <c r="R32" s="659"/>
      <c r="S32" s="659"/>
      <c r="T32" s="659"/>
      <c r="U32" s="659"/>
      <c r="V32" s="660"/>
      <c r="Y32" s="20"/>
    </row>
    <row r="33" spans="2:25" x14ac:dyDescent="0.3">
      <c r="B33" s="19"/>
      <c r="Y33" s="20"/>
    </row>
    <row r="34" spans="2:25" ht="15" thickBot="1" x14ac:dyDescent="0.35">
      <c r="B34" s="22"/>
      <c r="C34" s="23"/>
      <c r="D34" s="23"/>
      <c r="E34" s="23"/>
      <c r="F34" s="23"/>
      <c r="G34" s="23"/>
      <c r="H34" s="23"/>
      <c r="I34" s="23"/>
      <c r="J34" s="23"/>
      <c r="K34" s="23"/>
      <c r="L34" s="23"/>
      <c r="M34" s="23"/>
      <c r="N34" s="23"/>
      <c r="O34" s="23"/>
      <c r="P34" s="23"/>
      <c r="Q34" s="23"/>
      <c r="R34" s="23"/>
      <c r="S34" s="23"/>
      <c r="T34" s="23"/>
      <c r="U34" s="23"/>
      <c r="V34" s="23"/>
      <c r="W34" s="23"/>
      <c r="X34" s="23"/>
      <c r="Y34" s="24"/>
    </row>
    <row r="37" spans="2:25" ht="15" thickBot="1" x14ac:dyDescent="0.35"/>
    <row r="38" spans="2:25" x14ac:dyDescent="0.3">
      <c r="B38" s="16"/>
      <c r="C38" s="17"/>
      <c r="D38" s="17"/>
      <c r="E38" s="17"/>
      <c r="F38" s="17"/>
      <c r="G38" s="17"/>
      <c r="H38" s="17"/>
      <c r="I38" s="17"/>
      <c r="J38" s="17"/>
      <c r="K38" s="17"/>
      <c r="L38" s="17"/>
      <c r="M38" s="17"/>
      <c r="N38" s="17"/>
      <c r="O38" s="17"/>
      <c r="P38" s="17"/>
      <c r="Q38" s="17"/>
      <c r="R38" s="17"/>
      <c r="S38" s="17"/>
      <c r="T38" s="17"/>
      <c r="U38" s="17"/>
      <c r="V38" s="17"/>
      <c r="W38" s="17"/>
      <c r="X38" s="17"/>
      <c r="Y38" s="18"/>
    </row>
    <row r="39" spans="2:25" x14ac:dyDescent="0.3">
      <c r="B39" s="19"/>
      <c r="M39" s="679"/>
      <c r="N39" s="679"/>
      <c r="Y39" s="20"/>
    </row>
    <row r="40" spans="2:25" x14ac:dyDescent="0.3">
      <c r="B40" s="19"/>
      <c r="C40" s="776" t="s">
        <v>2371</v>
      </c>
      <c r="D40" s="776"/>
      <c r="E40" s="776"/>
      <c r="F40" s="776"/>
      <c r="G40" s="776"/>
      <c r="H40" s="776"/>
      <c r="I40" s="776"/>
      <c r="J40" s="776"/>
      <c r="K40" s="776"/>
      <c r="L40" s="776"/>
      <c r="M40" s="776"/>
      <c r="N40" s="776"/>
      <c r="O40" s="776"/>
      <c r="P40" s="776"/>
      <c r="Q40" s="776"/>
      <c r="Y40" s="20"/>
    </row>
    <row r="41" spans="2:25" x14ac:dyDescent="0.3">
      <c r="B41" s="19"/>
      <c r="C41" s="776"/>
      <c r="D41" s="776"/>
      <c r="E41" s="776"/>
      <c r="F41" s="776"/>
      <c r="G41" s="776"/>
      <c r="H41" s="776"/>
      <c r="I41" s="776"/>
      <c r="J41" s="776"/>
      <c r="K41" s="776"/>
      <c r="L41" s="776"/>
      <c r="M41" s="776"/>
      <c r="N41" s="776"/>
      <c r="O41" s="776"/>
      <c r="P41" s="776"/>
      <c r="Q41" s="776"/>
      <c r="Y41" s="20"/>
    </row>
    <row r="42" spans="2:25" x14ac:dyDescent="0.3">
      <c r="B42" s="19"/>
      <c r="C42" s="99"/>
      <c r="D42" s="99"/>
      <c r="E42" s="99"/>
      <c r="F42" s="99"/>
      <c r="G42" s="99"/>
      <c r="H42" s="99"/>
      <c r="I42" s="99"/>
      <c r="J42" s="99"/>
      <c r="K42" s="99"/>
      <c r="L42" s="99"/>
      <c r="M42" s="99"/>
      <c r="N42" s="99"/>
      <c r="O42" s="99"/>
      <c r="P42" s="99"/>
      <c r="Q42" s="99"/>
      <c r="Y42" s="20"/>
    </row>
    <row r="43" spans="2:25" x14ac:dyDescent="0.3">
      <c r="B43" s="19"/>
      <c r="M43" s="860" t="s">
        <v>2473</v>
      </c>
      <c r="N43" s="860"/>
      <c r="Y43" s="20"/>
    </row>
    <row r="44" spans="2:25" x14ac:dyDescent="0.3">
      <c r="B44" s="19"/>
      <c r="C44" s="47" t="s">
        <v>2518</v>
      </c>
      <c r="D44" s="47"/>
      <c r="E44" s="47"/>
      <c r="F44" s="47"/>
      <c r="G44" s="47"/>
      <c r="H44" s="47"/>
      <c r="I44" s="47"/>
      <c r="J44" s="47"/>
      <c r="K44" s="47"/>
      <c r="L44" s="43"/>
      <c r="M44" s="891"/>
      <c r="N44" s="892"/>
      <c r="P44" s="175" t="str">
        <f>IF(SURF_REELLES_IAE&gt;(cSAU*0.05),"Attention : surface saisie &gt; 5% de la SAU","")</f>
        <v/>
      </c>
      <c r="Q44" s="175"/>
      <c r="R44" s="175"/>
      <c r="S44" s="175"/>
      <c r="Y44" s="20"/>
    </row>
    <row r="45" spans="2:25" x14ac:dyDescent="0.3">
      <c r="B45" s="19"/>
      <c r="C45" s="751" t="s">
        <v>710</v>
      </c>
      <c r="D45" s="751"/>
      <c r="E45" s="751"/>
      <c r="F45" s="751"/>
      <c r="G45" s="751"/>
      <c r="H45" s="751"/>
      <c r="I45" s="751"/>
      <c r="J45" s="47"/>
      <c r="K45" s="48"/>
      <c r="L45" s="44"/>
      <c r="M45" s="891"/>
      <c r="N45" s="892"/>
      <c r="P45" s="175" t="str">
        <f>IF(M45&gt;(Surfaces!O120+Surfaces!O121+Surfaces!O122),"Attention : surface saisie &gt; surface en prairies permanentes","")</f>
        <v/>
      </c>
      <c r="X45" s="97"/>
      <c r="Y45" s="98"/>
    </row>
    <row r="46" spans="2:25" x14ac:dyDescent="0.3">
      <c r="B46" s="19"/>
      <c r="C46" s="751" t="s">
        <v>2517</v>
      </c>
      <c r="D46" s="751"/>
      <c r="E46" s="751"/>
      <c r="F46" s="751"/>
      <c r="G46" s="751"/>
      <c r="H46" s="751"/>
      <c r="I46" s="751"/>
      <c r="J46" s="47"/>
      <c r="K46" s="48"/>
      <c r="L46" s="44"/>
      <c r="M46" s="891"/>
      <c r="N46" s="892"/>
      <c r="P46" t="str">
        <f>IF(M46&gt;(Surfaces!O25-(Surfaces!O120+Surfaces!O121+Surfaces!O122)),"Attention : surface saisie &gt; SAU hors prairies permanentes","")</f>
        <v/>
      </c>
      <c r="X46" s="97"/>
      <c r="Y46" s="98"/>
    </row>
    <row r="47" spans="2:25" x14ac:dyDescent="0.3">
      <c r="B47" s="19"/>
      <c r="X47" s="97"/>
      <c r="Y47" s="98"/>
    </row>
    <row r="48" spans="2:25" ht="15" customHeight="1" x14ac:dyDescent="0.3">
      <c r="B48" s="19"/>
      <c r="C48" s="905" t="s">
        <v>2519</v>
      </c>
      <c r="D48" s="905"/>
      <c r="E48" s="905"/>
      <c r="F48" s="905"/>
      <c r="G48" s="905"/>
      <c r="H48" s="905"/>
      <c r="I48" s="905"/>
      <c r="J48" s="905"/>
      <c r="K48" s="905"/>
      <c r="L48" s="905"/>
      <c r="M48" s="905"/>
      <c r="N48" s="905"/>
      <c r="O48" s="905"/>
      <c r="P48" s="905"/>
      <c r="Q48" s="905"/>
      <c r="R48" s="905"/>
      <c r="S48" s="905"/>
      <c r="T48" s="905"/>
      <c r="U48" s="905"/>
      <c r="X48" s="97"/>
      <c r="Y48" s="98"/>
    </row>
    <row r="49" spans="2:25" x14ac:dyDescent="0.3">
      <c r="B49" s="19"/>
      <c r="C49" s="905"/>
      <c r="D49" s="905"/>
      <c r="E49" s="905"/>
      <c r="F49" s="905"/>
      <c r="G49" s="905"/>
      <c r="H49" s="905"/>
      <c r="I49" s="905"/>
      <c r="J49" s="905"/>
      <c r="K49" s="905"/>
      <c r="L49" s="905"/>
      <c r="M49" s="905"/>
      <c r="N49" s="905"/>
      <c r="O49" s="905"/>
      <c r="P49" s="905"/>
      <c r="Q49" s="905"/>
      <c r="R49" s="905"/>
      <c r="S49" s="905"/>
      <c r="T49" s="905"/>
      <c r="U49" s="905"/>
      <c r="X49" s="97"/>
      <c r="Y49" s="98"/>
    </row>
    <row r="50" spans="2:25" x14ac:dyDescent="0.3">
      <c r="B50" s="19"/>
      <c r="X50" s="97"/>
      <c r="Y50" s="98"/>
    </row>
    <row r="51" spans="2:25" x14ac:dyDescent="0.3">
      <c r="B51" s="19"/>
      <c r="C51" s="42"/>
      <c r="X51" s="97"/>
      <c r="Y51" s="98"/>
    </row>
    <row r="52" spans="2:25" x14ac:dyDescent="0.3">
      <c r="B52" s="19"/>
      <c r="P52" s="678"/>
      <c r="Q52" s="678"/>
      <c r="X52" s="97"/>
      <c r="Y52" s="98"/>
    </row>
    <row r="53" spans="2:25" x14ac:dyDescent="0.3">
      <c r="B53" s="19"/>
      <c r="D53" s="690" t="s">
        <v>294</v>
      </c>
      <c r="E53" s="690"/>
      <c r="F53" s="690"/>
      <c r="G53" s="690"/>
      <c r="H53" s="690"/>
      <c r="I53" s="690"/>
      <c r="J53" s="690"/>
      <c r="K53" s="690"/>
      <c r="L53" s="691"/>
      <c r="M53" s="753">
        <f>Surfaces!O25</f>
        <v>0</v>
      </c>
      <c r="N53" s="754"/>
      <c r="Q53" s="70"/>
      <c r="X53" s="97"/>
      <c r="Y53" s="98"/>
    </row>
    <row r="54" spans="2:25" x14ac:dyDescent="0.3">
      <c r="B54" s="19"/>
      <c r="D54" s="690" t="s">
        <v>578</v>
      </c>
      <c r="E54" s="690"/>
      <c r="F54" s="690"/>
      <c r="G54" s="690"/>
      <c r="H54" s="690"/>
      <c r="I54" s="690"/>
      <c r="J54" s="690"/>
      <c r="K54" s="690"/>
      <c r="L54" s="691"/>
      <c r="M54" s="753">
        <f>IFERROR(SUM(M44:N46),0)</f>
        <v>0</v>
      </c>
      <c r="N54" s="754"/>
      <c r="P54" s="678" t="s">
        <v>3204</v>
      </c>
      <c r="Q54" s="678"/>
      <c r="V54" s="680" t="s">
        <v>3205</v>
      </c>
      <c r="W54" s="680"/>
      <c r="X54" s="680"/>
      <c r="Y54" s="681"/>
    </row>
    <row r="55" spans="2:25" x14ac:dyDescent="0.3">
      <c r="B55" s="19"/>
      <c r="D55" s="690" t="s">
        <v>579</v>
      </c>
      <c r="E55" s="690"/>
      <c r="F55" s="690"/>
      <c r="G55" s="690"/>
      <c r="H55" s="690"/>
      <c r="I55" s="690"/>
      <c r="J55" s="690"/>
      <c r="K55" s="690"/>
      <c r="L55" s="691"/>
      <c r="M55" s="684">
        <f>IFERROR(M54/M53,0)</f>
        <v>0</v>
      </c>
      <c r="N55" s="685"/>
      <c r="P55" s="782">
        <f>IF(ISBLANK(L11),0,IF(UTILISATION_CMR1&lt;&gt;"Oui",IF(OR(cSAU=0,SURF_REELLES_IAE&gt;(cSAU*0.05)),0,IFERROR(MIN(ROUNDUP(MAX(M55-5%,0)/10%,0),10),0)),0))</f>
        <v>0</v>
      </c>
      <c r="Q55" s="783"/>
      <c r="U55" s="96"/>
      <c r="W55" s="862">
        <v>10</v>
      </c>
      <c r="X55" s="863"/>
      <c r="Y55" s="20"/>
    </row>
    <row r="56" spans="2:25" x14ac:dyDescent="0.3">
      <c r="B56" s="19"/>
      <c r="Y56" s="20"/>
    </row>
    <row r="57" spans="2:25" x14ac:dyDescent="0.3">
      <c r="B57" s="19"/>
      <c r="Y57" s="20"/>
    </row>
    <row r="58" spans="2:25" x14ac:dyDescent="0.3">
      <c r="B58" s="19"/>
      <c r="D58" s="70" t="s">
        <v>2472</v>
      </c>
      <c r="Y58" s="20"/>
    </row>
    <row r="59" spans="2:25" x14ac:dyDescent="0.3">
      <c r="B59" s="19"/>
      <c r="D59" s="652"/>
      <c r="E59" s="653"/>
      <c r="F59" s="653"/>
      <c r="G59" s="653"/>
      <c r="H59" s="653"/>
      <c r="I59" s="653"/>
      <c r="J59" s="653"/>
      <c r="K59" s="653"/>
      <c r="L59" s="653"/>
      <c r="M59" s="653"/>
      <c r="N59" s="653"/>
      <c r="O59" s="653"/>
      <c r="P59" s="653"/>
      <c r="Q59" s="653"/>
      <c r="R59" s="653"/>
      <c r="S59" s="653"/>
      <c r="T59" s="653"/>
      <c r="U59" s="653"/>
      <c r="V59" s="653"/>
      <c r="W59" s="653"/>
      <c r="X59" s="654"/>
      <c r="Y59" s="20"/>
    </row>
    <row r="60" spans="2:25" x14ac:dyDescent="0.3">
      <c r="B60" s="19"/>
      <c r="D60" s="655"/>
      <c r="E60" s="656"/>
      <c r="F60" s="656"/>
      <c r="G60" s="656"/>
      <c r="H60" s="656"/>
      <c r="I60" s="656"/>
      <c r="J60" s="656"/>
      <c r="K60" s="656"/>
      <c r="L60" s="656"/>
      <c r="M60" s="656"/>
      <c r="N60" s="656"/>
      <c r="O60" s="656"/>
      <c r="P60" s="656"/>
      <c r="Q60" s="656"/>
      <c r="R60" s="656"/>
      <c r="S60" s="656"/>
      <c r="T60" s="656"/>
      <c r="U60" s="656"/>
      <c r="V60" s="656"/>
      <c r="W60" s="656"/>
      <c r="X60" s="657"/>
      <c r="Y60" s="20"/>
    </row>
    <row r="61" spans="2:25" x14ac:dyDescent="0.3">
      <c r="B61" s="19"/>
      <c r="D61" s="655"/>
      <c r="E61" s="656"/>
      <c r="F61" s="656"/>
      <c r="G61" s="656"/>
      <c r="H61" s="656"/>
      <c r="I61" s="656"/>
      <c r="J61" s="656"/>
      <c r="K61" s="656"/>
      <c r="L61" s="656"/>
      <c r="M61" s="656"/>
      <c r="N61" s="656"/>
      <c r="O61" s="656"/>
      <c r="P61" s="656"/>
      <c r="Q61" s="656"/>
      <c r="R61" s="656"/>
      <c r="S61" s="656"/>
      <c r="T61" s="656"/>
      <c r="U61" s="656"/>
      <c r="V61" s="656"/>
      <c r="W61" s="656"/>
      <c r="X61" s="657"/>
      <c r="Y61" s="20"/>
    </row>
    <row r="62" spans="2:25" x14ac:dyDescent="0.3">
      <c r="B62" s="19"/>
      <c r="D62" s="655"/>
      <c r="E62" s="656"/>
      <c r="F62" s="656"/>
      <c r="G62" s="656"/>
      <c r="H62" s="656"/>
      <c r="I62" s="656"/>
      <c r="J62" s="656"/>
      <c r="K62" s="656"/>
      <c r="L62" s="656"/>
      <c r="M62" s="656"/>
      <c r="N62" s="656"/>
      <c r="O62" s="656"/>
      <c r="P62" s="656"/>
      <c r="Q62" s="656"/>
      <c r="R62" s="656"/>
      <c r="S62" s="656"/>
      <c r="T62" s="656"/>
      <c r="U62" s="656"/>
      <c r="V62" s="656"/>
      <c r="W62" s="656"/>
      <c r="X62" s="657"/>
      <c r="Y62" s="20"/>
    </row>
    <row r="63" spans="2:25" x14ac:dyDescent="0.3">
      <c r="B63" s="19"/>
      <c r="D63" s="658"/>
      <c r="E63" s="659"/>
      <c r="F63" s="659"/>
      <c r="G63" s="659"/>
      <c r="H63" s="659"/>
      <c r="I63" s="659"/>
      <c r="J63" s="659"/>
      <c r="K63" s="659"/>
      <c r="L63" s="659"/>
      <c r="M63" s="659"/>
      <c r="N63" s="659"/>
      <c r="O63" s="659"/>
      <c r="P63" s="659"/>
      <c r="Q63" s="659"/>
      <c r="R63" s="659"/>
      <c r="S63" s="659"/>
      <c r="T63" s="659"/>
      <c r="U63" s="659"/>
      <c r="V63" s="659"/>
      <c r="W63" s="659"/>
      <c r="X63" s="660"/>
      <c r="Y63" s="20"/>
    </row>
    <row r="64" spans="2:25" x14ac:dyDescent="0.3">
      <c r="B64" s="19"/>
      <c r="Y64" s="20"/>
    </row>
    <row r="65" spans="2:42" ht="15" thickBot="1" x14ac:dyDescent="0.35">
      <c r="B65" s="22"/>
      <c r="C65" s="23"/>
      <c r="D65" s="23"/>
      <c r="E65" s="23"/>
      <c r="F65" s="23"/>
      <c r="G65" s="23"/>
      <c r="H65" s="23"/>
      <c r="I65" s="23"/>
      <c r="J65" s="23"/>
      <c r="K65" s="23"/>
      <c r="L65" s="23"/>
      <c r="M65" s="23"/>
      <c r="N65" s="23"/>
      <c r="O65" s="23"/>
      <c r="P65" s="23"/>
      <c r="Q65" s="23"/>
      <c r="R65" s="23"/>
      <c r="S65" s="23"/>
      <c r="T65" s="23"/>
      <c r="U65" s="23"/>
      <c r="V65" s="23"/>
      <c r="W65" s="23"/>
      <c r="X65" s="23"/>
      <c r="Y65" s="24"/>
      <c r="AH65" s="42" t="s">
        <v>3134</v>
      </c>
      <c r="AJ65" s="931" t="s">
        <v>3140</v>
      </c>
      <c r="AK65" s="931"/>
      <c r="AL65" s="936" t="s">
        <v>3126</v>
      </c>
      <c r="AM65" s="937"/>
    </row>
    <row r="66" spans="2:42" x14ac:dyDescent="0.3">
      <c r="AH66" s="944" t="s">
        <v>3125</v>
      </c>
      <c r="AI66" s="335"/>
      <c r="AJ66" s="335" t="s">
        <v>290</v>
      </c>
      <c r="AK66" s="335" t="s">
        <v>289</v>
      </c>
      <c r="AL66" s="335" t="s">
        <v>290</v>
      </c>
      <c r="AM66" s="335" t="s">
        <v>289</v>
      </c>
    </row>
    <row r="67" spans="2:42" x14ac:dyDescent="0.3">
      <c r="AH67" s="589"/>
      <c r="AI67" s="941" t="s">
        <v>3127</v>
      </c>
      <c r="AJ67" s="942"/>
      <c r="AK67" s="942"/>
      <c r="AL67" s="942"/>
      <c r="AM67" s="943"/>
      <c r="AP67" s="89"/>
    </row>
    <row r="68" spans="2:42" ht="15" thickBot="1" x14ac:dyDescent="0.35">
      <c r="AH68" s="921">
        <v>1</v>
      </c>
      <c r="AI68" s="335" t="s">
        <v>3128</v>
      </c>
      <c r="AJ68" s="335" t="str">
        <f>IFERROR(IF(OR(SUM(Surfaces!$O$84,Surfaces!$O$91,Surfaces!$O$98,Surfaces!$O$106,Surfaces!$O$112,Surfaces!$O$115:$O$119,Surfaces!$O$130)&gt;0,Surfaces!$O$133&gt;0),(SUM(Surfaces!$O$84,Surfaces!$O$91,Surfaces!$O$98,Surfaces!$O$106,Surfaces!$O$112,Surfaces!$O$115:$O$119,Surfaces!$O$130)*INDEX(Scoring_GC!D:D,MATCH(cRegion,Scoring_GC!B:B,0))+Surfaces!$O$133*INDEX(Scoring_GC!J:J,MATCH(cRegion,Scoring_GC!H:H,0)))/(SUM(Surfaces!$O$84,Surfaces!$O$91,Surfaces!$O$98,Surfaces!$O$106,Surfaces!$O$112,Surfaces!$O$115:$O$119,Surfaces!$O$130)+Surfaces!$O$133),""),"")</f>
        <v/>
      </c>
      <c r="AK68" s="335" t="str">
        <f>IFERROR(IF(OR(SUM(Surfaces!$O$84,Surfaces!$O$91,Surfaces!$O$98,Surfaces!$O$106,Surfaces!$O$112,Surfaces!$O$115:$O$119,Surfaces!$O$130)&gt;0,Surfaces!$O$133&gt;0),(SUM(Surfaces!$O$84,Surfaces!$O$91,Surfaces!$O$98,Surfaces!$O$106,Surfaces!$O$112,Surfaces!$O$115:$O$119,Surfaces!$O$130)*INDEX(Scoring_GC!C:C,MATCH(cRegion,Scoring_GC!B:B,0))+Surfaces!$O$133*INDEX(Scoring_GC!I:I,MATCH(cRegion,Scoring_GC!H:H,0)))/(SUM(Surfaces!$O$84,Surfaces!$O$91,Surfaces!$O$98,Surfaces!$O$106,Surfaces!$O$112,Surfaces!$O$115:$O$119,Surfaces!$O$130)+Surfaces!$O$133),""),"")</f>
        <v/>
      </c>
      <c r="AL68" s="335" t="str">
        <f>IFERROR(IF(OR(SUM(Surfaces!$O$84,Surfaces!$O$91,Surfaces!$O$98,Surfaces!$O$106,Surfaces!$O$112,Surfaces!$O$115:$O$119,Surfaces!$O$130)&gt;0,Surfaces!$O$133&gt;0),(SUM(Surfaces!$O$84,Surfaces!$O$91,Surfaces!$O$98,Surfaces!$O$106,Surfaces!$O$112,Surfaces!$O$115:$O$119,Surfaces!$O$130)*INDEX(Scoring_GC!P:P,MATCH(cRegion,Scoring_GC!N:N,0))+Surfaces!$O$133*INDEX(Scoring_GC!V:V,MATCH(cRegion,Scoring_GC!T:T,0)))/(SUM(Surfaces!$O$84,Surfaces!$O$91,Surfaces!$O$98,Surfaces!$O$106,Surfaces!$O$112,Surfaces!$O$115:$O$119,Surfaces!$O$130)+Surfaces!$O$133),""),"")</f>
        <v/>
      </c>
      <c r="AM68" s="335" t="str">
        <f>IFERROR(IF(OR(SUM(Surfaces!$O$84,Surfaces!$O$91,Surfaces!$O$98,Surfaces!$O$106,Surfaces!$O$112,Surfaces!$O$115:$O$119,Surfaces!$O$130)&gt;0,Surfaces!$O$133&gt;0),(SUM(Surfaces!$O$84,Surfaces!$O$91,Surfaces!$O$98,Surfaces!$O$106,Surfaces!$O$112,Surfaces!$O$115:$O$119,Surfaces!$O$130)*INDEX(Scoring_GC!O:O,MATCH(cRegion,Scoring_GC!N:N,0))+Surfaces!$O$133*INDEX(Scoring_GC!U:U,MATCH(cRegion,Scoring_GC!T:T,0)))/(SUM(Surfaces!$O$84,Surfaces!$O$91,Surfaces!$O$98,Surfaces!$O$106,Surfaces!$O$112,Surfaces!$O$115:$O$119,Surfaces!$O$130)+Surfaces!$O$133),""),"")</f>
        <v/>
      </c>
    </row>
    <row r="69" spans="2:42" x14ac:dyDescent="0.3">
      <c r="B69" s="16"/>
      <c r="C69" s="17"/>
      <c r="D69" s="17"/>
      <c r="E69" s="17"/>
      <c r="F69" s="17"/>
      <c r="G69" s="17"/>
      <c r="H69" s="17"/>
      <c r="I69" s="17"/>
      <c r="J69" s="17"/>
      <c r="K69" s="17"/>
      <c r="L69" s="17"/>
      <c r="M69" s="17"/>
      <c r="N69" s="17"/>
      <c r="O69" s="17"/>
      <c r="P69" s="17"/>
      <c r="Q69" s="17"/>
      <c r="R69" s="17"/>
      <c r="S69" s="17"/>
      <c r="T69" s="17"/>
      <c r="U69" s="17"/>
      <c r="V69" s="17"/>
      <c r="W69" s="17"/>
      <c r="X69" s="17"/>
      <c r="Y69" s="18"/>
      <c r="AH69" s="921"/>
      <c r="AI69" s="335" t="s">
        <v>683</v>
      </c>
      <c r="AJ69" s="335" t="str">
        <f>IFERROR(IF(OR(SUM(Surfaces!$O$84,Surfaces!$O$91,Surfaces!$O$98,Surfaces!$O$106,Surfaces!$O$112,Surfaces!$O$115:$O$119,Surfaces!$O$130)&gt;0,Surfaces!$O$133&gt;0),(SUM(Surfaces!$O$84,Surfaces!$O$91,Surfaces!$O$98,Surfaces!$O$106,Surfaces!$O$112,Surfaces!$O$115:$O$119,Surfaces!$O$130)*INDEX(Scoring_GC!F:F,MATCH(cRegion,Scoring_GC!B:B,0))+Surfaces!$O$133*INDEX(Scoring_GC!L:L,MATCH(cRegion,Scoring_GC!H:H,0)))/(SUM(Surfaces!$O$84,Surfaces!$O$91,Surfaces!$O$98,Surfaces!$O$106,Surfaces!$O$112,Surfaces!$O$115:$O$119,Surfaces!$O$130)+Surfaces!$O$133),""),"")</f>
        <v/>
      </c>
      <c r="AK69" s="335" t="str">
        <f>IFERROR(IF(OR(SUM(Surfaces!$O$84,Surfaces!$O$91,Surfaces!$O$98,Surfaces!$O$106,Surfaces!$O$112,Surfaces!$O$115:$O$119,Surfaces!$O$130)&gt;0,Surfaces!$O$133&gt;0),(SUM(Surfaces!$O$84,Surfaces!$O$91,Surfaces!$O$98,Surfaces!$O$106,Surfaces!$O$112,Surfaces!$O$115:$O$119,Surfaces!$O$130)*INDEX(Scoring_GC!E:E,MATCH(cRegion,Scoring_GC!B:B,0))+Surfaces!$O$133*INDEX(Scoring_GC!K:K,MATCH(cRegion,Scoring_GC!H:H,0)))/(SUM(Surfaces!$O$84,Surfaces!$O$91,Surfaces!$O$98,Surfaces!$O$106,Surfaces!$O$112,Surfaces!$O$115:$O$119,Surfaces!$O$130)+Surfaces!$O$133),""),"")</f>
        <v/>
      </c>
      <c r="AL69" s="335" t="str">
        <f>IFERROR(IF(OR(SUM(Surfaces!$O$84,Surfaces!$O$91,Surfaces!$O$98,Surfaces!$O$106,Surfaces!$O$112,Surfaces!$O$115:$O$119,Surfaces!$O$130)&gt;0,Surfaces!$O$133&gt;0),(SUM(Surfaces!$O$84,Surfaces!$O$91,Surfaces!$O$98,Surfaces!$O$106,Surfaces!$O$112,Surfaces!$O$115:$O$119,Surfaces!$O$130)*INDEX(Scoring_GC!R:R,MATCH(cRegion,Scoring_GC!N:N,0))+Surfaces!$O$133*INDEX(Scoring_GC!X:X,MATCH(cRegion,Scoring_GC!T:T,0)))/(SUM(Surfaces!$O$84,Surfaces!$O$91,Surfaces!$O$98,Surfaces!$O$106,Surfaces!$O$112,Surfaces!$O$115:$O$119,Surfaces!$O$130)+Surfaces!$O$133),""),"")</f>
        <v/>
      </c>
      <c r="AM69" s="335" t="str">
        <f>IFERROR(IF(OR(SUM(Surfaces!$O$84,Surfaces!$O$91,Surfaces!$O$98,Surfaces!$O$106,Surfaces!$O$112,Surfaces!$O$115:$O$119,Surfaces!$O$130)&gt;0,Surfaces!$O$133&gt;0),(SUM(Surfaces!$O$84,Surfaces!$O$91,Surfaces!$O$98,Surfaces!$O$106,Surfaces!$O$112,Surfaces!$O$115:$O$119,Surfaces!$O$130)*INDEX(Scoring_GC!Q:Q,MATCH(cRegion,Scoring_GC!N:N,0))+Surfaces!$O$133*INDEX(Scoring_GC!W:W,MATCH(cRegion,Scoring_GC!T:T,0)))/(SUM(Surfaces!$O$84,Surfaces!$O$91,Surfaces!$O$98,Surfaces!$O$106,Surfaces!$O$112,Surfaces!$O$115:$O$119,Surfaces!$O$130)+Surfaces!$O$133),""),"")</f>
        <v/>
      </c>
    </row>
    <row r="70" spans="2:42" x14ac:dyDescent="0.3">
      <c r="B70" s="19"/>
      <c r="Y70" s="20"/>
      <c r="AH70" s="921">
        <v>2</v>
      </c>
      <c r="AI70" s="335" t="s">
        <v>3128</v>
      </c>
      <c r="AJ70" s="335" t="str">
        <f>IFERROR(IF(OR(SUM(Surfaces!$P$84,Surfaces!$P$91,Surfaces!$P$98,Surfaces!$P$106,Surfaces!$P$112,Surfaces!$P$115:$P$119,Surfaces!$P$130)&gt;0,Surfaces!$P$133&gt;0),(SUM(Surfaces!$P$84,Surfaces!$P$91,Surfaces!$P$98,Surfaces!$P$106,Surfaces!$P$112,Surfaces!$P$115:$P$119,Surfaces!$P$130)*INDEX(Scoring_GC!D:D,MATCH(cRegion,Scoring_GC!B:B,0))+Surfaces!$P$133*INDEX(Scoring_GC!J:J,MATCH(cRegion,Scoring_GC!H:H,0)))/(SUM(Surfaces!$P$84,Surfaces!$P$91,Surfaces!$P$98,Surfaces!$P$106,Surfaces!$P$112,Surfaces!$P$115:$P$119,Surfaces!$P$130)+Surfaces!$P$133),""),"")</f>
        <v/>
      </c>
      <c r="AK70" s="335" t="str">
        <f>IFERROR(IF(OR(SUM(Surfaces!$P$84,Surfaces!$P$91,Surfaces!$P$98,Surfaces!$P$106,Surfaces!$P$112,Surfaces!$P$115:$P$119,Surfaces!$P$130)&gt;0,Surfaces!$P$133&gt;0),(SUM(Surfaces!$P$84,Surfaces!$P$91,Surfaces!$P$98,Surfaces!$P$106,Surfaces!$P$112,Surfaces!$P$115:$P$119,Surfaces!$P$130)*INDEX(Scoring_GC!C:C,MATCH(cRegion,Scoring_GC!B:B,0))+Surfaces!$P$133*INDEX(Scoring_GC!I:I,MATCH(cRegion,Scoring_GC!H:H,0)))/(SUM(Surfaces!$P$84,Surfaces!$P$91,Surfaces!$P$98,Surfaces!$P$106,Surfaces!$P$112,Surfaces!$P$115:$P$119,Surfaces!$P$130)+Surfaces!$P$133),""),"")</f>
        <v/>
      </c>
      <c r="AL70" s="335" t="str">
        <f>IFERROR(IF(OR(SUM(Surfaces!$P$84,Surfaces!$P$91,Surfaces!$P$98,Surfaces!$P$106,Surfaces!$P$112,Surfaces!$P$115:$P$119,Surfaces!$P$130)&gt;0,Surfaces!$P$133&gt;0),(SUM(Surfaces!$P$84,Surfaces!$P$91,Surfaces!$P$98,Surfaces!$P$106,Surfaces!$P$112,Surfaces!$P$115:$P$119,Surfaces!$P$130)*INDEX(Scoring_GC!P:P,MATCH(cRegion,Scoring_GC!N:N,0))+Surfaces!$P$133*INDEX(Scoring_GC!V:V,MATCH(cRegion,Scoring_GC!T:T,0)))/(SUM(Surfaces!$P$84,Surfaces!$P$91,Surfaces!$P$98,Surfaces!$P$106,Surfaces!$P$112,Surfaces!$P$115:$P$119,Surfaces!$P$130)+Surfaces!$P$133),""),"")</f>
        <v/>
      </c>
      <c r="AM70" s="335" t="str">
        <f>IFERROR(IF(OR(SUM(Surfaces!$P$84,Surfaces!$P$91,Surfaces!$P$98,Surfaces!$P$106,Surfaces!$P$112,Surfaces!$P$115:$P$119,Surfaces!$P$130)&gt;0,Surfaces!$P$133&gt;0),(SUM(Surfaces!$P$84,Surfaces!$P$91,Surfaces!$P$98,Surfaces!$P$106,Surfaces!$P$112,Surfaces!$P$115:$P$119,Surfaces!$P$130)*INDEX(Scoring_GC!O:O,MATCH(cRegion,Scoring_GC!N:N,0))+Surfaces!$P$133*INDEX(Scoring_GC!U:U,MATCH(cRegion,Scoring_GC!T:T,0)))/(SUM(Surfaces!$P$84,Surfaces!$P$91,Surfaces!$P$98,Surfaces!$P$106,Surfaces!$P$112,Surfaces!$P$115:$P$119,Surfaces!$P$130)+Surfaces!$P$133),""),"")</f>
        <v/>
      </c>
    </row>
    <row r="71" spans="2:42" x14ac:dyDescent="0.3">
      <c r="B71" s="19"/>
      <c r="C71" s="70" t="s">
        <v>295</v>
      </c>
      <c r="Y71" s="20"/>
      <c r="AH71" s="921"/>
      <c r="AI71" s="335" t="s">
        <v>683</v>
      </c>
      <c r="AJ71" s="335" t="str">
        <f>IFERROR(IF(OR(SUM(Surfaces!$P$84,Surfaces!$P$91,Surfaces!$P$98,Surfaces!$P$106,Surfaces!$P$112,Surfaces!$P$115:$P$119,Surfaces!$P$130)&gt;0,Surfaces!$P$133&gt;0),(SUM(Surfaces!$P$84,Surfaces!$P$91,Surfaces!$P$98,Surfaces!$P$106,Surfaces!$P$112,Surfaces!$P$115:$P$119,Surfaces!$P$130)*INDEX(Scoring_GC!F:F,MATCH(cRegion,Scoring_GC!B:B,0))+Surfaces!$P$133*INDEX(Scoring_GC!L:L,MATCH(cRegion,Scoring_GC!H:H,0)))/(SUM(Surfaces!$P$84,Surfaces!$P$91,Surfaces!$P$98,Surfaces!$P$106,Surfaces!$P$112,Surfaces!$P$115:$P$119,Surfaces!$P$130)+Surfaces!$P$133),""),"")</f>
        <v/>
      </c>
      <c r="AK71" s="335" t="str">
        <f>IFERROR(IF(OR(SUM(Surfaces!$P$84,Surfaces!$P$91,Surfaces!$P$98,Surfaces!$P$106,Surfaces!$P$112,Surfaces!$P$115:$P$119,Surfaces!$P$130)&gt;0,Surfaces!$P$133&gt;0),(SUM(Surfaces!$P$84,Surfaces!$P$91,Surfaces!$P$98,Surfaces!$P$106,Surfaces!$P$112,Surfaces!$P$115:$P$119,Surfaces!$P$130)*INDEX(Scoring_GC!E:E,MATCH(cRegion,Scoring_GC!B:B,0))+Surfaces!$P$133*INDEX(Scoring_GC!K:K,MATCH(cRegion,Scoring_GC!H:H,0)))/(SUM(Surfaces!$P$84,Surfaces!$P$91,Surfaces!$P$98,Surfaces!$P$106,Surfaces!$P$112,Surfaces!$P$115:$P$119,Surfaces!$P$130)+Surfaces!$P$133),""),"")</f>
        <v/>
      </c>
      <c r="AL71" s="335" t="str">
        <f>IFERROR(IF(OR(SUM(Surfaces!$P$84,Surfaces!$P$91,Surfaces!$P$98,Surfaces!$P$106,Surfaces!$P$112,Surfaces!$P$115:$P$119,Surfaces!$P$130)&gt;0,Surfaces!$P$133&gt;0),(SUM(Surfaces!$P$84,Surfaces!$P$91,Surfaces!$P$98,Surfaces!$P$106,Surfaces!$P$112,Surfaces!$P$115:$P$119,Surfaces!$P$130)*INDEX(Scoring_GC!R:R,MATCH(cRegion,Scoring_GC!N:N,0))+Surfaces!$P$133*INDEX(Scoring_GC!X:X,MATCH(cRegion,Scoring_GC!T:T,0)))/(SUM(Surfaces!$P$84,Surfaces!$P$91,Surfaces!$P$98,Surfaces!$P$106,Surfaces!$P$112,Surfaces!$P$115:$P$119,Surfaces!$P$130)+Surfaces!$P$133),""),"")</f>
        <v/>
      </c>
      <c r="AM71" s="335" t="str">
        <f>IFERROR(IF(OR(SUM(Surfaces!$P$84,Surfaces!$P$91,Surfaces!$P$98,Surfaces!$P$106,Surfaces!$P$112,Surfaces!$P$115:$P$119,Surfaces!$P$130)&gt;0,Surfaces!$P$133&gt;0),(SUM(Surfaces!$P$84,Surfaces!$P$91,Surfaces!$P$98,Surfaces!$P$106,Surfaces!$P$112,Surfaces!$P$115:$P$119,Surfaces!$P$130)*INDEX(Scoring_GC!Q:Q,MATCH(cRegion,Scoring_GC!N:N,0))+Surfaces!$P$133*INDEX(Scoring_GC!W:W,MATCH(cRegion,Scoring_GC!T:T,0)))/(SUM(Surfaces!$P$84,Surfaces!$P$91,Surfaces!$P$98,Surfaces!$P$106,Surfaces!$P$112,Surfaces!$P$115:$P$119,Surfaces!$P$130)+Surfaces!$P$133),""),"")</f>
        <v/>
      </c>
    </row>
    <row r="72" spans="2:42" x14ac:dyDescent="0.3">
      <c r="B72" s="19"/>
      <c r="Y72" s="20"/>
      <c r="AH72" s="921">
        <v>3</v>
      </c>
      <c r="AI72" s="335" t="s">
        <v>3128</v>
      </c>
      <c r="AJ72" s="335" t="str">
        <f>IFERROR(IF(OR(SUM(Surfaces!$Q$84,Surfaces!$Q$91,Surfaces!$Q$98,Surfaces!$Q$106,Surfaces!$Q$112,Surfaces!$Q$115:$Q$119,Surfaces!$Q$130)&gt;0,Surfaces!$Q$133&gt;0),(SUM(Surfaces!$Q$84,Surfaces!$Q$91,Surfaces!$Q$98,Surfaces!$Q$106,Surfaces!$Q$112,Surfaces!$Q$115:$Q$119,Surfaces!$Q$130)*INDEX(Scoring_GC!D:D,MATCH(cRegion,Scoring_GC!B:B,0))+Surfaces!$Q$133*INDEX(Scoring_GC!J:J,MATCH(cRegion,Scoring_GC!H:H,0)))/(SUM(Surfaces!$Q$84,Surfaces!$Q$91,Surfaces!$Q$98,Surfaces!$Q$106,Surfaces!$Q$112,Surfaces!$Q$115:$Q$119,Surfaces!$Q$130)+Surfaces!$Q$133),""),"")</f>
        <v/>
      </c>
      <c r="AK72" s="335" t="str">
        <f>IFERROR(IF(OR(SUM(Surfaces!$Q$84,Surfaces!$Q$91,Surfaces!$Q$98,Surfaces!$Q$106,Surfaces!$Q$112,Surfaces!$Q$115:$Q$119,Surfaces!$Q$130)&gt;0,Surfaces!$Q$133&gt;0),(SUM(Surfaces!$Q$84,Surfaces!$Q$91,Surfaces!$Q$98,Surfaces!$Q$106,Surfaces!$Q$112,Surfaces!$Q$115:$Q$119,Surfaces!$Q$130)*INDEX(Scoring_GC!C:C,MATCH(cRegion,Scoring_GC!B:B,0))+Surfaces!$Q$133*INDEX(Scoring_GC!I:I,MATCH(cRegion,Scoring_GC!H:H,0)))/(SUM(Surfaces!$Q$84,Surfaces!$Q$91,Surfaces!$Q$98,Surfaces!$Q$106,Surfaces!$Q$112,Surfaces!$Q$115:$Q$119,Surfaces!$Q$130)+Surfaces!$Q$133),""),"")</f>
        <v/>
      </c>
      <c r="AL72" s="335" t="str">
        <f>IFERROR(IF(OR(SUM(Surfaces!$Q$84,Surfaces!$Q$91,Surfaces!$Q$98,Surfaces!$Q$106,Surfaces!$Q$112,Surfaces!$Q$115:$Q$119,Surfaces!$Q$130)&gt;0,Surfaces!$Q$133&gt;0),(SUM(Surfaces!$Q$84,Surfaces!$Q$91,Surfaces!$Q$98,Surfaces!$Q$106,Surfaces!$Q$112,Surfaces!$Q$115:$Q$119,Surfaces!$Q$130)*INDEX(Scoring_GC!P:P,MATCH(cRegion,Scoring_GC!N:N,0))+Surfaces!$Q$133*INDEX(Scoring_GC!V:V,MATCH(cRegion,Scoring_GC!T:T,0)))/(SUM(Surfaces!$Q$84,Surfaces!$Q$91,Surfaces!$Q$98,Surfaces!$Q$106,Surfaces!$Q$112,Surfaces!$Q$115:$Q$119,Surfaces!$Q$130)+Surfaces!$Q$133),""),"")</f>
        <v/>
      </c>
      <c r="AM72" s="335" t="str">
        <f>IFERROR(IF(OR(SUM(Surfaces!$Q$84,Surfaces!$Q$91,Surfaces!$Q$98,Surfaces!$Q$106,Surfaces!$Q$112,Surfaces!$Q$115:$Q$119,Surfaces!$Q$130)&gt;0,Surfaces!$Q$133&gt;0),(SUM(Surfaces!$Q$84,Surfaces!$Q$91,Surfaces!$Q$98,Surfaces!$Q$106,Surfaces!$Q$112,Surfaces!$Q$115:$Q$119,Surfaces!$Q$130)*INDEX(Scoring_GC!O:O,MATCH(cRegion,Scoring_GC!N:N,0))+Surfaces!$Q$133*INDEX(Scoring_GC!U:U,MATCH(cRegion,Scoring_GC!T:T,0)))/(SUM(Surfaces!$Q$84,Surfaces!$Q$91,Surfaces!$Q$98,Surfaces!$Q$106,Surfaces!$Q$112,Surfaces!$Q$115:$Q$119,Surfaces!$Q$130)+Surfaces!$Q$133),""),"")</f>
        <v/>
      </c>
    </row>
    <row r="73" spans="2:42" x14ac:dyDescent="0.3">
      <c r="B73" s="19"/>
      <c r="C73" s="47" t="s">
        <v>849</v>
      </c>
      <c r="D73" s="47"/>
      <c r="E73" s="47"/>
      <c r="F73" s="47"/>
      <c r="G73" s="47"/>
      <c r="H73" s="43"/>
      <c r="I73" s="938" t="str">
        <f>IFERROR(INDEX(Paramètres!BE:BE,MATCH(Phyto!I74,Paramètres!BC:BC,0)),"")</f>
        <v/>
      </c>
      <c r="J73" s="939"/>
      <c r="K73" s="939"/>
      <c r="L73" s="939"/>
      <c r="M73" s="940"/>
      <c r="Y73" s="20"/>
      <c r="AH73" s="921"/>
      <c r="AI73" s="335" t="s">
        <v>683</v>
      </c>
      <c r="AJ73" s="335" t="str">
        <f>IFERROR(IF(OR(SUM(Surfaces!$Q$84,Surfaces!$Q$91,Surfaces!$Q$98,Surfaces!$Q$106,Surfaces!$Q$112,Surfaces!$Q$115:$Q$119,Surfaces!$Q$130)&gt;0,Surfaces!$Q$133&gt;0),(SUM(Surfaces!$Q$84,Surfaces!$Q$91,Surfaces!$Q$98,Surfaces!$Q$106,Surfaces!$Q$112,Surfaces!$Q$115:$Q$119,Surfaces!$Q$130)*INDEX(Scoring_GC!F:F,MATCH(cRegion,Scoring_GC!B:B,0))+Surfaces!$Q$133*INDEX(Scoring_GC!L:L,MATCH(cRegion,Scoring_GC!H:H,0)))/(SUM(Surfaces!$Q$84,Surfaces!$Q$91,Surfaces!$Q$98,Surfaces!$Q$106,Surfaces!$Q$112,Surfaces!$Q$115:$Q$119,Surfaces!$Q$130)+Surfaces!$Q$133),""),"")</f>
        <v/>
      </c>
      <c r="AK73" s="335" t="str">
        <f>IFERROR(IF(OR(SUM(Surfaces!$Q$84,Surfaces!$Q$91,Surfaces!$Q$98,Surfaces!$Q$106,Surfaces!$Q$112,Surfaces!$Q$115:$Q$119,Surfaces!$Q$130)&gt;0,Surfaces!$Q$133&gt;0),(SUM(Surfaces!$Q$84,Surfaces!$Q$91,Surfaces!$Q$98,Surfaces!$Q$106,Surfaces!$Q$112,Surfaces!$Q$115:$Q$119,Surfaces!$Q$130)*INDEX(Scoring_GC!E:E,MATCH(cRegion,Scoring_GC!B:B,0))+Surfaces!$Q$133*INDEX(Scoring_GC!K:K,MATCH(cRegion,Scoring_GC!H:H,0)))/(SUM(Surfaces!$Q$84,Surfaces!$Q$91,Surfaces!$Q$98,Surfaces!$Q$106,Surfaces!$Q$112,Surfaces!$Q$115:$Q$119,Surfaces!$Q$130)+Surfaces!$Q$133),""),"")</f>
        <v/>
      </c>
      <c r="AL73" s="335" t="str">
        <f>IFERROR(IF(OR(SUM(Surfaces!$Q$84,Surfaces!$Q$91,Surfaces!$Q$98,Surfaces!$Q$106,Surfaces!$Q$112,Surfaces!$Q$115:$Q$119,Surfaces!$Q$130)&gt;0,Surfaces!$Q$133&gt;0),(SUM(Surfaces!$Q$84,Surfaces!$Q$91,Surfaces!$Q$98,Surfaces!$Q$106,Surfaces!$Q$112,Surfaces!$Q$115:$Q$119,Surfaces!$Q$130)*INDEX(Scoring_GC!R:R,MATCH(cRegion,Scoring_GC!N:N,0))+Surfaces!$Q$133*INDEX(Scoring_GC!X:X,MATCH(cRegion,Scoring_GC!T:T,0)))/(SUM(Surfaces!$Q$84,Surfaces!$Q$91,Surfaces!$Q$98,Surfaces!$Q$106,Surfaces!$Q$112,Surfaces!$Q$115:$Q$119,Surfaces!$Q$130)+Surfaces!$Q$133),""),"")</f>
        <v/>
      </c>
      <c r="AM73" s="335" t="str">
        <f>IFERROR(IF(OR(SUM(Surfaces!$Q$84,Surfaces!$Q$91,Surfaces!$Q$98,Surfaces!$Q$106,Surfaces!$Q$112,Surfaces!$Q$115:$Q$119,Surfaces!$Q$130)&gt;0,Surfaces!$Q$133&gt;0),(SUM(Surfaces!$Q$84,Surfaces!$Q$91,Surfaces!$Q$98,Surfaces!$Q$106,Surfaces!$Q$112,Surfaces!$Q$115:$Q$119,Surfaces!$Q$130)*INDEX(Scoring_GC!Q:Q,MATCH(cRegion,Scoring_GC!N:N,0))+Surfaces!$Q$133*INDEX(Scoring_GC!W:W,MATCH(cRegion,Scoring_GC!T:T,0)))/(SUM(Surfaces!$Q$84,Surfaces!$Q$91,Surfaces!$Q$98,Surfaces!$Q$106,Surfaces!$Q$112,Surfaces!$Q$115:$Q$119,Surfaces!$Q$130)+Surfaces!$Q$133),""),"")</f>
        <v/>
      </c>
    </row>
    <row r="74" spans="2:42" x14ac:dyDescent="0.3">
      <c r="B74" s="19"/>
      <c r="C74" s="47" t="s">
        <v>670</v>
      </c>
      <c r="D74" s="47"/>
      <c r="E74" s="47"/>
      <c r="F74" s="48"/>
      <c r="G74" s="48"/>
      <c r="H74" s="44"/>
      <c r="I74" s="906" t="str">
        <f>IF(Identification!R42=0,"",Identification!R42)</f>
        <v/>
      </c>
      <c r="J74" s="907"/>
      <c r="K74" s="907"/>
      <c r="L74" s="907"/>
      <c r="M74" s="908"/>
      <c r="P74" s="47" t="s">
        <v>3132</v>
      </c>
      <c r="Q74" s="47"/>
      <c r="R74" s="47"/>
      <c r="S74" s="47"/>
      <c r="T74" s="47"/>
      <c r="U74" s="47"/>
      <c r="V74" s="789"/>
      <c r="W74" s="748"/>
      <c r="Y74" s="20"/>
      <c r="AH74" s="505"/>
      <c r="AI74" s="933"/>
      <c r="AJ74" s="934"/>
      <c r="AK74" s="934"/>
      <c r="AL74" s="934"/>
      <c r="AM74" s="935"/>
    </row>
    <row r="75" spans="2:42" x14ac:dyDescent="0.3">
      <c r="B75" s="19"/>
      <c r="C75" s="47" t="s">
        <v>3242</v>
      </c>
      <c r="D75" s="47"/>
      <c r="E75" s="47"/>
      <c r="F75" s="47"/>
      <c r="G75" s="47"/>
      <c r="H75" s="47"/>
      <c r="I75" s="747"/>
      <c r="J75" s="790"/>
      <c r="K75" s="790"/>
      <c r="L75" s="790"/>
      <c r="M75" s="748"/>
      <c r="N75" s="118" t="str">
        <f>IF(I74="","",IF(AND(I75="",OR(I74="Rhône",I74="Ardèche",I74="Drôme",I74="Saône-et-Loire")),"   A saisir",IF(AND(I75&lt;&gt;"",OR(I74="Rhône",I74="Ardèche",I74="Drôme",I74="Saône-et-Loire")),"","Ne pas renseigner")))</f>
        <v/>
      </c>
      <c r="P75" s="141" t="s">
        <v>3216</v>
      </c>
      <c r="Q75" s="559"/>
      <c r="R75" s="559"/>
      <c r="S75" s="559"/>
      <c r="T75" s="559"/>
      <c r="U75" s="559"/>
      <c r="V75" s="560"/>
      <c r="W75" s="561"/>
      <c r="Y75" s="20"/>
      <c r="AH75" s="505"/>
      <c r="AI75" s="556"/>
      <c r="AJ75" s="557"/>
      <c r="AK75" s="557"/>
      <c r="AL75" s="557"/>
      <c r="AM75" s="558"/>
    </row>
    <row r="76" spans="2:42" x14ac:dyDescent="0.3">
      <c r="B76" s="19"/>
      <c r="C76" s="47" t="s">
        <v>3243</v>
      </c>
      <c r="D76" s="43"/>
      <c r="E76" s="47"/>
      <c r="F76" s="47"/>
      <c r="G76" s="47"/>
      <c r="H76" s="47"/>
      <c r="I76" s="788" t="str">
        <f>IFERROR(INDEX(Paramètres!BH:BH,MATCH(TRIM(I74&amp;" "&amp;I75),Paramètres!BI:BI,0)),"")</f>
        <v/>
      </c>
      <c r="J76" s="788"/>
      <c r="K76" s="788"/>
      <c r="L76" s="788"/>
      <c r="M76" s="788"/>
      <c r="N76" s="788"/>
      <c r="Y76" s="20"/>
      <c r="AH76" s="505"/>
      <c r="AI76" s="941" t="s">
        <v>3129</v>
      </c>
      <c r="AJ76" s="942"/>
      <c r="AK76" s="942"/>
      <c r="AL76" s="942"/>
      <c r="AM76" s="943"/>
    </row>
    <row r="77" spans="2:42" x14ac:dyDescent="0.3">
      <c r="B77" s="19"/>
      <c r="C77" s="47" t="s">
        <v>3343</v>
      </c>
      <c r="D77" s="48"/>
      <c r="E77" s="48"/>
      <c r="F77" s="48"/>
      <c r="G77" s="48"/>
      <c r="H77" s="48"/>
      <c r="I77" s="791"/>
      <c r="J77" s="792"/>
      <c r="K77" s="792"/>
      <c r="L77" s="792"/>
      <c r="M77" s="792"/>
      <c r="N77" s="793"/>
      <c r="O77" s="343"/>
      <c r="Y77" s="20"/>
      <c r="AH77" s="921">
        <v>1</v>
      </c>
      <c r="AI77" s="335" t="s">
        <v>3128</v>
      </c>
      <c r="AJ77" s="335" t="str">
        <f>IFERROR(IF(SUM(Surfaces!$O$145:$O$159)&gt;0,SUMPRODUCT(Surfaces!$O$145:$O$159,Surfaces!AD$145:AD$159)/SUM(Surfaces!$O$145:$O$159),""),"")</f>
        <v/>
      </c>
      <c r="AK77" s="335" t="str">
        <f>IFERROR(IF(SUM(Surfaces!$O$145:$O$159)&gt;0,SUMPRODUCT(Surfaces!$O$145:$O$159,Surfaces!AC$145:AC$159)/SUM(Surfaces!$O$145:$O$159),""),"")</f>
        <v/>
      </c>
      <c r="AL77" s="335" t="str">
        <f>IFERROR(IF(SUM(Surfaces!$O$145:$O$159)&gt;0,SUMPRODUCT(Surfaces!$O$145:$O$159,Surfaces!AI$145:AI$159)/SUM(Surfaces!$O$145:$O$159),""),"")</f>
        <v/>
      </c>
      <c r="AM77" s="335" t="str">
        <f>IFERROR(IF(SUM(Surfaces!$O$145:$O$159)&gt;0,SUMPRODUCT(Surfaces!$O$145:$O$159,Surfaces!AH$145:AH$159)/SUM(Surfaces!$O$145:$O$159),""),"")</f>
        <v/>
      </c>
    </row>
    <row r="78" spans="2:42" x14ac:dyDescent="0.3">
      <c r="B78" s="19"/>
      <c r="C78" s="108" t="s">
        <v>3244</v>
      </c>
      <c r="D78" s="48"/>
      <c r="E78" s="48"/>
      <c r="F78" s="48"/>
      <c r="G78" s="48"/>
      <c r="H78" s="48"/>
      <c r="I78" s="794" t="str" cm="1">
        <f t="array" ref="I78">IF(AND(BASSIN_VITICOLE_EXPLOITATION_SIEGE="",BASSIN_VITICOLE_CORRIGE=""),"",IF(BASSIN_VITICOLE_CORRIGE&lt;&gt;"",BASSIN_VITICOLE_CORRIGE,BASSIN_VITICOLE_EXPLOITATION_SIEGE))</f>
        <v/>
      </c>
      <c r="J78" s="794"/>
      <c r="K78" s="794"/>
      <c r="L78" s="794"/>
      <c r="M78" s="794"/>
      <c r="N78" s="794"/>
      <c r="Y78" s="20"/>
      <c r="AH78" s="921"/>
      <c r="AI78" s="335"/>
      <c r="AJ78" s="335"/>
      <c r="AK78" s="335"/>
      <c r="AL78" s="335"/>
      <c r="AM78" s="335"/>
    </row>
    <row r="79" spans="2:42" x14ac:dyDescent="0.3">
      <c r="B79" s="19"/>
      <c r="Y79" s="20"/>
      <c r="AH79" s="921"/>
      <c r="AI79" s="335"/>
      <c r="AJ79" s="335"/>
      <c r="AK79" s="335"/>
      <c r="AL79" s="335"/>
      <c r="AM79" s="335"/>
    </row>
    <row r="80" spans="2:42" x14ac:dyDescent="0.3">
      <c r="B80" s="19"/>
      <c r="C80" s="42" t="s">
        <v>678</v>
      </c>
      <c r="Y80" s="20"/>
      <c r="AH80" s="921"/>
      <c r="AI80" s="335" t="s">
        <v>683</v>
      </c>
      <c r="AJ80" s="335" t="str">
        <f>IFERROR(IF(SUM(Surfaces!$O$145:$O$159)&gt;0,SUMPRODUCT(Surfaces!$O$145:$O$159,Surfaces!AF$145:AF$159)/SUM(Surfaces!$O$145:$O$159),""),"")</f>
        <v/>
      </c>
      <c r="AK80" s="335" t="str">
        <f>IFERROR(IF(SUM(Surfaces!$O$145:$O$159)&gt;0,SUMPRODUCT(Surfaces!$O$145:$O$159,Surfaces!AE$145:AE$159)/SUM(Surfaces!$O$145:$O$159),""),"")</f>
        <v/>
      </c>
      <c r="AL80" s="335" t="str">
        <f>IFERROR(IF(SUM(Surfaces!$O$145:$O$159)&gt;0,SUMPRODUCT(Surfaces!$O$145:$O$159,Surfaces!AK$145:AK$159)/SUM(Surfaces!$O$145:$O$159),""),"")</f>
        <v/>
      </c>
      <c r="AM80" s="335" t="str">
        <f>IFERROR(IF(SUM(Surfaces!$O$145:$O$159)&gt;0,SUMPRODUCT(Surfaces!$O$145:$O$159,Surfaces!AJ$145:AJ$159)/SUM(Surfaces!$O$145:$O$159),""),"")</f>
        <v/>
      </c>
    </row>
    <row r="81" spans="2:39" ht="15" thickBot="1" x14ac:dyDescent="0.35">
      <c r="B81" s="19"/>
      <c r="C81" s="65" t="s">
        <v>3162</v>
      </c>
      <c r="Y81" s="20"/>
      <c r="AH81" s="921">
        <v>2</v>
      </c>
      <c r="AI81" s="335" t="s">
        <v>3128</v>
      </c>
      <c r="AJ81" s="335" t="str">
        <f>IFERROR(IF(SUM(Surfaces!$P$145:$P$159)&gt;0,SUMPRODUCT(Surfaces!$P$145:$P$159,Surfaces!AD$145:AD$159)/SUM(Surfaces!$P$145:$P$159),""),"")</f>
        <v/>
      </c>
      <c r="AK81" s="335" t="str">
        <f>IFERROR(IF(SUM(Surfaces!$P$145:$P$159)&gt;0,SUMPRODUCT(Surfaces!$P$145:$P$159,Surfaces!AC$145:AC$159)/SUM(Surfaces!$P$145:$P$159),""),"")</f>
        <v/>
      </c>
      <c r="AL81" s="335" t="str">
        <f>IFERROR(IF(SUM(Surfaces!$P$145:$P$159)&gt;0,SUMPRODUCT(Surfaces!$P$145:$P$159,Surfaces!AI$145:AI$159)/SUM(Surfaces!$P$145:$P$159),""),"")</f>
        <v/>
      </c>
      <c r="AM81" s="335" t="str">
        <f>IFERROR(IF(SUM(Surfaces!$P$145:$P$159)&gt;0,SUMPRODUCT(Surfaces!$P$145:$P$159,Surfaces!AH$145:AH$159)/SUM(Surfaces!$P$145:$P$159),""),"")</f>
        <v/>
      </c>
    </row>
    <row r="82" spans="2:39" x14ac:dyDescent="0.3">
      <c r="B82" s="19"/>
      <c r="C82" s="786" t="s">
        <v>328</v>
      </c>
      <c r="D82" s="787"/>
      <c r="E82" s="787"/>
      <c r="F82" s="787"/>
      <c r="G82" s="787"/>
      <c r="H82" s="787"/>
      <c r="I82" s="787"/>
      <c r="J82" s="784" t="s">
        <v>290</v>
      </c>
      <c r="K82" s="784"/>
      <c r="L82" s="784" t="s">
        <v>289</v>
      </c>
      <c r="M82" s="784"/>
      <c r="N82" s="784" t="s">
        <v>383</v>
      </c>
      <c r="O82" s="784"/>
      <c r="P82" s="784" t="s">
        <v>864</v>
      </c>
      <c r="Q82" s="785"/>
      <c r="Y82" s="20"/>
      <c r="AH82" s="921"/>
      <c r="AI82" s="335" t="s">
        <v>683</v>
      </c>
      <c r="AJ82" s="335" t="str">
        <f>IFERROR(IF(SUM(Surfaces!$P$145:$P$159)&gt;0,SUMPRODUCT(Surfaces!$P$145:$P$159,Surfaces!AF$145:AF$159)/SUM(Surfaces!$P$145:$P$159),""),"")</f>
        <v/>
      </c>
      <c r="AK82" s="335" t="str">
        <f>IFERROR(IF(SUM(Surfaces!$P$145:$P$159)&gt;0,SUMPRODUCT(Surfaces!$P$145:$P$159,Surfaces!AE$145:AE$159)/SUM(Surfaces!$P$145:$P$159),""),"")</f>
        <v/>
      </c>
      <c r="AL82" s="335" t="str">
        <f>IFERROR(IF(SUM(Surfaces!$P$145:$P$159)&gt;0,SUMPRODUCT(Surfaces!$P$145:$P$159,Surfaces!AK$145:AK$159)/SUM(Surfaces!$P$145:$P$159),""),"")</f>
        <v/>
      </c>
      <c r="AM82" s="335" t="str">
        <f>IFERROR(IF(SUM(Surfaces!$P$145:$P$159)&gt;0,SUMPRODUCT(Surfaces!$P$145:$P$159,Surfaces!AJ$145:AJ$159)/SUM(Surfaces!$P$145:$P$159),""),"")</f>
        <v/>
      </c>
    </row>
    <row r="83" spans="2:39" x14ac:dyDescent="0.3">
      <c r="B83" s="19"/>
      <c r="C83" s="909" t="s">
        <v>299</v>
      </c>
      <c r="D83" s="910"/>
      <c r="E83" s="910"/>
      <c r="F83" s="910"/>
      <c r="G83" s="910"/>
      <c r="H83" s="910"/>
      <c r="I83" s="910"/>
      <c r="J83" s="882" t="str">
        <f>IFERROR(IF($V$74=1,AJ68,IF($V$74=2,AVERAGE(AJ68,AJ70),IF($V$74=3,AVERAGE(AJ68,AJ70,AJ72),""))),"")</f>
        <v/>
      </c>
      <c r="K83" s="882"/>
      <c r="L83" s="882" t="str">
        <f>IFERROR(IF($V$74=1,AK68,IF($V$74=2,AVERAGE(AK68,AK70),IF($V$74=3,AVERAGE(AK68,AK70,AK72),""))),"")</f>
        <v/>
      </c>
      <c r="M83" s="882"/>
      <c r="N83" s="882" t="str">
        <f>IFERROR(IF(AVERAGE(Scoring_GC!C5:S29)&lt;&gt;"",IF($V$74=1,AL68,IF($V$74=2,AVERAGE(AL68,AL70),IF($V$74=3,AVERAGE(AL68,AL70,AL72),""))),""),"")</f>
        <v/>
      </c>
      <c r="O83" s="882"/>
      <c r="P83" s="882" t="str">
        <f>IFERROR(IF(AVERAGE(Scoring_GC!C5:S29)&lt;&gt;"",IF($V$74=1,AM68,IF($V$74=2,AVERAGE(AM68,AM70),IF($V$74=3,AVERAGE(AM68,AM70,AM72),""))),""),"")</f>
        <v/>
      </c>
      <c r="Q83" s="884"/>
      <c r="Y83" s="20"/>
      <c r="AH83" s="921">
        <v>3</v>
      </c>
      <c r="AI83" s="335" t="s">
        <v>3128</v>
      </c>
      <c r="AJ83" s="335" t="str">
        <f>IFERROR(IF(SUM(Surfaces!$Q$145:$Q$159)&gt;0,SUMPRODUCT(Surfaces!$Q$145:$Q$159,Surfaces!AD$145:AD$159)/SUM(Surfaces!$Q$145:$Q$159),""),"")</f>
        <v/>
      </c>
      <c r="AK83" s="335" t="str">
        <f>IFERROR(IF(SUM(Surfaces!$Q$145:$Q$159)&gt;0,SUMPRODUCT(Surfaces!$Q$145:$Q$159,Surfaces!AC$145:AC$159)/SUM(Surfaces!$Q$145:$Q$159),""),"")</f>
        <v/>
      </c>
      <c r="AL83" s="335" t="str">
        <f>IFERROR(IF(SUM(Surfaces!$Q$145:$Q$159)&gt;0,SUMPRODUCT(Surfaces!$Q$145:$Q$159,Surfaces!AI$145:AI$159)/SUM(Surfaces!$Q$145:$Q$159),""),"")</f>
        <v/>
      </c>
      <c r="AM83" s="335" t="str">
        <f>IFERROR(IF(SUM(Surfaces!$Q$145:$Q$159)&gt;0,SUMPRODUCT(Surfaces!$Q$145:$Q$159,Surfaces!AH$145:AH$159)/SUM(Surfaces!$Q$145:$Q$159),""),"")</f>
        <v/>
      </c>
    </row>
    <row r="84" spans="2:39" ht="15" thickBot="1" x14ac:dyDescent="0.35">
      <c r="B84" s="19"/>
      <c r="C84" s="911" t="s">
        <v>296</v>
      </c>
      <c r="D84" s="912"/>
      <c r="E84" s="912"/>
      <c r="F84" s="912"/>
      <c r="G84" s="912"/>
      <c r="H84" s="912"/>
      <c r="I84" s="912"/>
      <c r="J84" s="777" t="str">
        <f>IFERROR(IF($V$74=1,AJ69,IF($V$74=2,AVERAGE(AJ69,AJ71),IF($V$74=3,AVERAGE(AJ69,AJ71,AJ73),""))),"")</f>
        <v/>
      </c>
      <c r="K84" s="777"/>
      <c r="L84" s="777" t="str">
        <f>IFERROR(IF($V$74=1,AK69,IF($V$74=2,AVERAGE(AK69,AK71),IF($V$74=3,AVERAGE(AK69,AK71,AK73),""))),"")</f>
        <v/>
      </c>
      <c r="M84" s="777"/>
      <c r="N84" s="777" t="str">
        <f>IFERROR(IF(AVERAGE(Scoring_GC!C5:S29)&lt;&gt;"",IF($V$74=1,AL69,IF($V$74=2,AVERAGE(AL69,AL71),IF($V$74=3,AVERAGE(AL69,AL71,AL73),""))),""),"")</f>
        <v/>
      </c>
      <c r="O84" s="777"/>
      <c r="P84" s="777" t="str">
        <f>IFERROR(IF(AVERAGE(Scoring_GC!C5:S29)&lt;&gt;"",IF($V$74=1,AM69,IF($V$74=2,AVERAGE(AM69,AM71),IF($V$74=3,AVERAGE(AM69,AM71,AM73),""))),""),"")</f>
        <v/>
      </c>
      <c r="Q84" s="795"/>
      <c r="U84" s="513"/>
      <c r="Y84" s="20"/>
      <c r="AH84" s="921"/>
      <c r="AI84" s="335" t="s">
        <v>683</v>
      </c>
      <c r="AJ84" s="335" t="str">
        <f>IFERROR(IF(SUM(Surfaces!$Q$145:$Q$159)&gt;0,SUMPRODUCT(Surfaces!$Q$145:$Q$159,Surfaces!AF$145:AF$159)/SUM(Surfaces!$Q$145:$Q$159),""),"")</f>
        <v/>
      </c>
      <c r="AK84" s="335" t="str">
        <f>IFERROR(IF(SUM(Surfaces!$Q$145:$Q$159)&gt;0,SUMPRODUCT(Surfaces!$Q$145:$Q$159,Surfaces!AE$145:AE$159)/SUM(Surfaces!$Q$145:$Q$159),""),"")</f>
        <v/>
      </c>
      <c r="AL84" s="335" t="str">
        <f>IFERROR(IF(SUM(Surfaces!$Q$145:$Q$159)&gt;0,SUMPRODUCT(Surfaces!$Q$145:$Q$159,Surfaces!AK$145:AK$159)/SUM(Surfaces!$Q$145:$Q$159),""),"")</f>
        <v/>
      </c>
      <c r="AM84" s="335" t="str">
        <f>IFERROR(IF(SUM(Surfaces!$Q$145:$Q$159)&gt;0,SUMPRODUCT(Surfaces!$Q$145:$Q$159,Surfaces!AJ$145:AJ$159)/SUM(Surfaces!$Q$145:$Q$159),""),"")</f>
        <v/>
      </c>
    </row>
    <row r="85" spans="2:39" ht="15" thickBot="1" x14ac:dyDescent="0.35">
      <c r="B85" s="19"/>
      <c r="Y85" s="20"/>
    </row>
    <row r="86" spans="2:39" x14ac:dyDescent="0.3">
      <c r="B86" s="19"/>
      <c r="C86" s="786" t="s">
        <v>302</v>
      </c>
      <c r="D86" s="787"/>
      <c r="E86" s="787"/>
      <c r="F86" s="787"/>
      <c r="G86" s="787"/>
      <c r="H86" s="787"/>
      <c r="I86" s="787"/>
      <c r="J86" s="784" t="s">
        <v>290</v>
      </c>
      <c r="K86" s="784"/>
      <c r="L86" s="784" t="s">
        <v>289</v>
      </c>
      <c r="M86" s="784"/>
      <c r="N86" s="784" t="s">
        <v>383</v>
      </c>
      <c r="O86" s="784"/>
      <c r="P86" s="784" t="s">
        <v>864</v>
      </c>
      <c r="Q86" s="785"/>
      <c r="Y86" s="20"/>
      <c r="AH86" s="42" t="s">
        <v>3141</v>
      </c>
    </row>
    <row r="87" spans="2:39" x14ac:dyDescent="0.3">
      <c r="B87" s="19"/>
      <c r="C87" s="909" t="s">
        <v>297</v>
      </c>
      <c r="D87" s="910"/>
      <c r="E87" s="910"/>
      <c r="F87" s="910"/>
      <c r="G87" s="910"/>
      <c r="H87" s="910"/>
      <c r="I87" s="930"/>
      <c r="J87" s="796" t="str">
        <f>IFERROR(IF(V74&lt;&gt;"",IF(Surfaces!O142&lt;&gt;"",INDEX(Scoring_Viticulture!E:E,MATCH(BASSIN_VITICOLE_UTILISE,Scoring_Viticulture!C:C,0)),""),""),"")</f>
        <v/>
      </c>
      <c r="K87" s="796"/>
      <c r="L87" s="796" t="str">
        <f>IFERROR(IF(V74&lt;&gt;"",IF(Surfaces!O142&lt;&gt;"",INDEX(Scoring_Viticulture!D:D,MATCH(BASSIN_VITICOLE_UTILISE,Scoring_Viticulture!C:C,0)),""),""),"")</f>
        <v/>
      </c>
      <c r="M87" s="796"/>
      <c r="N87" s="796" t="str">
        <f>IFERROR(IF(V74&lt;&gt;"",IF(Surfaces!O142&lt;&gt;"",IF(INDEX(Scoring_Viticulture!L:L,MATCH(BASSIN_VITICOLE_UTILISE,Scoring_Viticulture!J:J,0))="","",INDEX(Scoring_Viticulture!L:L,MATCH(BASSIN_VITICOLE_UTILISE,Scoring_Viticulture!J:J,0))),""),""),"")</f>
        <v/>
      </c>
      <c r="O87" s="796"/>
      <c r="P87" s="796" t="str">
        <f>IFERROR(IF(V74&lt;&gt;"",IF(Surfaces!O142&lt;&gt;"",IF(INDEX(Scoring_Viticulture!K:K,MATCH(BASSIN_VITICOLE_UTILISE,Scoring_Viticulture!J:J,0))="","",INDEX(Scoring_Viticulture!K:K,MATCH(BASSIN_VITICOLE_UTILISE,Scoring_Viticulture!J:J,0))),""),""),"")</f>
        <v/>
      </c>
      <c r="Q87" s="883"/>
      <c r="Y87" s="20"/>
      <c r="AH87" s="514" t="s">
        <v>3135</v>
      </c>
    </row>
    <row r="88" spans="2:39" ht="15" thickBot="1" x14ac:dyDescent="0.35">
      <c r="B88" s="19"/>
      <c r="C88" s="911" t="s">
        <v>296</v>
      </c>
      <c r="D88" s="912"/>
      <c r="E88" s="912"/>
      <c r="F88" s="912"/>
      <c r="G88" s="912"/>
      <c r="H88" s="912"/>
      <c r="I88" s="957"/>
      <c r="J88" s="880" t="str">
        <f>IFERROR(IF(V74&lt;&gt;"",IF(Surfaces!O142&lt;&gt;"",INDEX(Scoring_Viticulture!G:G,MATCH(BASSIN_VITICOLE_UTILISE,Scoring_Viticulture!C:C,0)),""),""),"")</f>
        <v/>
      </c>
      <c r="K88" s="880"/>
      <c r="L88" s="880" t="str">
        <f>IFERROR(IF(V74&lt;&gt;"",IF(Surfaces!O142&lt;&gt;"",INDEX(Scoring_Viticulture!F:F,MATCH(BASSIN_VITICOLE_UTILISE,Scoring_Viticulture!C:C,0)),""),""),"")</f>
        <v/>
      </c>
      <c r="M88" s="880"/>
      <c r="N88" s="880" t="str">
        <f>IFERROR(IF(V74&lt;&gt;"",IF(Surfaces!O142&lt;&gt;"",IF(INDEX(Scoring_Viticulture!N:N,MATCH(BASSIN_VITICOLE_UTILISE,Scoring_Viticulture!J:J,0))="","",INDEX(Scoring_Viticulture!N:N,MATCH(BASSIN_VITICOLE_UTILISE,Scoring_Viticulture!J:J,0))),""),""),"")</f>
        <v/>
      </c>
      <c r="O88" s="880"/>
      <c r="P88" s="880" t="str">
        <f>IFERROR(IF(V74&lt;&gt;"",IF(Surfaces!O142&lt;&gt;"",IF(INDEX(Scoring_Viticulture!M:M,MATCH(BASSIN_VITICOLE_UTILISE,Scoring_Viticulture!J:J,0))="","",INDEX(Scoring_Viticulture!M:M,MATCH(BASSIN_VITICOLE_UTILISE,Scoring_Viticulture!J:J,0))),""),""),"")</f>
        <v/>
      </c>
      <c r="Q88" s="881"/>
      <c r="Y88" s="20"/>
      <c r="AH88" s="921">
        <v>1</v>
      </c>
      <c r="AI88" s="299" t="s">
        <v>3128</v>
      </c>
      <c r="AJ88" s="299" t="str">
        <f>IF(OR(AND((SUM(Surfaces!$O$84,Surfaces!$O$91,Surfaces!$O$98,Surfaces!$O$106,Surfaces!$O$112,Surfaces!$O$115:$O$119,Surfaces!$O$130))&gt;0,J99&lt;&gt;""),AND(Surfaces!$O$133&gt;0,L99&lt;&gt;"")),((SUM(Surfaces!$O$84,Surfaces!$O$91,Surfaces!$O$98,Surfaces!$O$106,Surfaces!$O$112,Surfaces!$O$115:$O$119,Surfaces!$O$130))*J99+Surfaces!$O$133*L99)/(SUM(Surfaces!$O$84,Surfaces!$O$91,Surfaces!$O$98,Surfaces!$O$106,Surfaces!$O$112,Surfaces!$O$115:$O$119,Surfaces!$O$130)+Surfaces!$O$133),"")</f>
        <v/>
      </c>
    </row>
    <row r="89" spans="2:39" ht="15" thickBot="1" x14ac:dyDescent="0.35">
      <c r="B89" s="19"/>
      <c r="Y89" s="20"/>
      <c r="AH89" s="921"/>
      <c r="AI89" s="299" t="s">
        <v>683</v>
      </c>
      <c r="AJ89" s="299" t="str">
        <f>IF(OR(AND((SUM(Surfaces!$O$84,Surfaces!$O$91,Surfaces!$O$98,Surfaces!$O$106,Surfaces!$O$112,Surfaces!$O$115:$O$119,Surfaces!$O$130))&gt;0,J100&lt;&gt;""),AND(Surfaces!$O$133&gt;0,L100&lt;&gt;"")),((SUM(Surfaces!$O$84,Surfaces!$O$91,Surfaces!$O$98,Surfaces!$O$106,Surfaces!$O$112,Surfaces!$O$115:$O$119,Surfaces!$O$130))*J100+Surfaces!$O$133*L100)/(SUM(Surfaces!$O$84,Surfaces!$O$91,Surfaces!$O$98,Surfaces!$O$106,Surfaces!$O$112,Surfaces!$O$115:$O$119,Surfaces!$O$130)+Surfaces!$O$133),"")</f>
        <v/>
      </c>
    </row>
    <row r="90" spans="2:39" x14ac:dyDescent="0.3">
      <c r="B90" s="19"/>
      <c r="C90" s="786" t="s">
        <v>304</v>
      </c>
      <c r="D90" s="787"/>
      <c r="E90" s="787"/>
      <c r="F90" s="787"/>
      <c r="G90" s="787"/>
      <c r="H90" s="787"/>
      <c r="I90" s="787"/>
      <c r="J90" s="784" t="s">
        <v>290</v>
      </c>
      <c r="K90" s="784"/>
      <c r="L90" s="784" t="s">
        <v>289</v>
      </c>
      <c r="M90" s="784"/>
      <c r="N90" s="784" t="s">
        <v>383</v>
      </c>
      <c r="O90" s="784"/>
      <c r="P90" s="784" t="s">
        <v>864</v>
      </c>
      <c r="Q90" s="785"/>
      <c r="Y90" s="20"/>
      <c r="AH90" s="921">
        <v>2</v>
      </c>
      <c r="AI90" s="516" t="s">
        <v>3128</v>
      </c>
      <c r="AJ90" s="299" t="str">
        <f>IF(OR(AND((SUM(Surfaces!$P$84,Surfaces!$P$91,Surfaces!$P$98,Surfaces!$P$106,Surfaces!$P$112,Surfaces!$P$115:$P$119,Surfaces!$P$130))&gt;0,J101&lt;&gt;""),AND(Surfaces!$P$133&gt;0,L101&lt;&gt;"")),((SUM(Surfaces!$P$84,Surfaces!$P$91,Surfaces!$P$98,Surfaces!$P$106,Surfaces!$P$112,Surfaces!$P$115:$P$119,Surfaces!$P$130))*J101+Surfaces!$P$133*L101)/(SUM(Surfaces!$P$84,Surfaces!$P$91,Surfaces!$P$98,Surfaces!$P$106,Surfaces!$P$112,Surfaces!$P$115:$P$119,Surfaces!$P$130)+Surfaces!$P$133),"")</f>
        <v/>
      </c>
    </row>
    <row r="91" spans="2:39" x14ac:dyDescent="0.3">
      <c r="B91" s="19"/>
      <c r="C91" s="909" t="s">
        <v>297</v>
      </c>
      <c r="D91" s="910"/>
      <c r="E91" s="910"/>
      <c r="F91" s="910"/>
      <c r="G91" s="910"/>
      <c r="H91" s="910"/>
      <c r="I91" s="910"/>
      <c r="J91" s="882" t="str">
        <f>IFERROR(IF($V$74=1,AJ77,IF($V$74=2,AVERAGE(AJ77,AJ81),IF($V$74=3,AVERAGE(AJ77,AJ81,AJ83),""))),"")</f>
        <v/>
      </c>
      <c r="K91" s="882"/>
      <c r="L91" s="882" t="str">
        <f>IFERROR(IF($V$74=1,AK77,IF($V$74=2,AVERAGE(AK77,AK81),IF($V$74=3,AVERAGE(AK77,AK81,AK83),""))),"")</f>
        <v/>
      </c>
      <c r="M91" s="882"/>
      <c r="N91" s="882" t="str">
        <f>IFERROR(IF(AVERAGE(Scoring_Arboriculture!S5:V282)&lt;&gt;"",IF($V$74=1,AL77,IF($V$74=2,AVERAGE(AL77,AL81),IF($V$74=3,AVERAGE(AL77,AL81,AL83),""))),""),"")</f>
        <v/>
      </c>
      <c r="O91" s="882"/>
      <c r="P91" s="882" t="str">
        <f>IFERROR(IF(AVERAGE(Scoring_Arboriculture!S5:V282)&lt;&gt;"",IF($V$74=1,AM77,IF($V$74=2,AVERAGE(AM77,AM81),IF($V$74=3,AVERAGE(AM77,AM81,AM83),""))),""),"")</f>
        <v/>
      </c>
      <c r="Q91" s="884"/>
      <c r="T91" s="127"/>
      <c r="Y91" s="20"/>
      <c r="AH91" s="921"/>
      <c r="AI91" s="516" t="s">
        <v>683</v>
      </c>
      <c r="AJ91" s="299" t="str">
        <f>IF(OR(AND((SUM(Surfaces!$P$84,Surfaces!$P$91,Surfaces!$P$98,Surfaces!$P$106,Surfaces!$P$112,Surfaces!$P$115:$P$119,Surfaces!$P$130))&gt;0,J102&lt;&gt;""),AND(Surfaces!$P$133&gt;0,L102&lt;&gt;"")),((SUM(Surfaces!$P$84,Surfaces!$P$91,Surfaces!$P$98,Surfaces!$P$106,Surfaces!$P$112,Surfaces!$P$115:$P$119,Surfaces!$P$130))*J102+Surfaces!$P$133*L102)/(SUM(Surfaces!$P$84,Surfaces!$P$91,Surfaces!$P$98,Surfaces!$P$106,Surfaces!$P$112,Surfaces!$P$115:$P$119,Surfaces!$P$130)+Surfaces!$P$133),"")</f>
        <v/>
      </c>
    </row>
    <row r="92" spans="2:39" ht="15" thickBot="1" x14ac:dyDescent="0.35">
      <c r="B92" s="19"/>
      <c r="C92" s="911" t="s">
        <v>296</v>
      </c>
      <c r="D92" s="912"/>
      <c r="E92" s="912"/>
      <c r="F92" s="912"/>
      <c r="G92" s="912"/>
      <c r="H92" s="912"/>
      <c r="I92" s="912"/>
      <c r="J92" s="777" t="str">
        <f>IFERROR(IF($V$74=1,AJ80,IF($V$74=2,AVERAGE(AJ80,AJ82),IF($V$74=3,AVERAGE(AJ80,AJ82,AJ84),""))),"")</f>
        <v/>
      </c>
      <c r="K92" s="777"/>
      <c r="L92" s="777" t="str">
        <f>IFERROR(IF($V$74=1,AK80,IF($V$74=2,AVERAGE(AK80,AK82),IF($V$74=3,AVERAGE(AK80,AK82,AK84),""))),"")</f>
        <v/>
      </c>
      <c r="M92" s="777"/>
      <c r="N92" s="777" t="str">
        <f>IFERROR(IF(AVERAGE(Scoring_Arboriculture!S5:V282)&lt;&gt;"",IF($V$74=1,AL80,IF($V$74=2,AVERAGE(AL80,AL82),IF($V$74=3,AVERAGE(AL80,AL82,AL84),""))),""),"")</f>
        <v/>
      </c>
      <c r="O92" s="777"/>
      <c r="P92" s="777" t="str">
        <f>IFERROR(IF(AVERAGE(Scoring_Arboriculture!S5:V282)&lt;&gt;"",IF($V$74=1,AM80,IF($V$74=2,AVERAGE(AM80,AM82),IF($V$74=3,AVERAGE(AM80,AM82,AM84),""))),""),"")</f>
        <v/>
      </c>
      <c r="Q92" s="795"/>
      <c r="Y92" s="20"/>
      <c r="AH92" s="921">
        <v>3</v>
      </c>
      <c r="AI92" s="516" t="s">
        <v>3128</v>
      </c>
      <c r="AJ92" s="299" t="str">
        <f>IF(OR(AND((SUM(Surfaces!$Q$84,Surfaces!$Q$91,Surfaces!$Q$98,Surfaces!$Q$106,Surfaces!$Q$112,Surfaces!$Q$115:$Q$119,Surfaces!$Q$130))&gt;0,J103&lt;&gt;""),AND(Surfaces!$Q$133&gt;0,L103&lt;&gt;"")),((SUM(Surfaces!$Q$84,Surfaces!$Q$91,Surfaces!$Q$98,Surfaces!$Q$106,Surfaces!$Q$112,Surfaces!$Q$115:$Q$119,Surfaces!$Q$130))*J103+Surfaces!$Q$133*L103)/(SUM(Surfaces!$Q$84,Surfaces!$Q$91,Surfaces!$Q$98,Surfaces!$Q$106,Surfaces!$Q$112,Surfaces!$Q$115:$Q$119,Surfaces!$Q$130)+Surfaces!$Q$133),"")</f>
        <v/>
      </c>
    </row>
    <row r="93" spans="2:39" x14ac:dyDescent="0.3">
      <c r="B93" s="19"/>
      <c r="Y93" s="20"/>
      <c r="AH93" s="921"/>
      <c r="AI93" s="516" t="s">
        <v>683</v>
      </c>
      <c r="AJ93" s="299" t="str">
        <f>IF(OR(AND((SUM(Surfaces!$Q$84,Surfaces!$Q$91,Surfaces!$Q$98,Surfaces!$Q$106,Surfaces!$Q$112,Surfaces!$Q$115:$Q$119,Surfaces!$Q$130))&gt;0,J104&lt;&gt;""),AND(Surfaces!$Q$133&gt;0,L104&lt;&gt;"")),((SUM(Surfaces!$Q$84,Surfaces!$Q$91,Surfaces!$Q$98,Surfaces!$Q$106,Surfaces!$Q$112,Surfaces!$Q$115:$Q$119,Surfaces!$Q$130))*J104+Surfaces!$Q$133*L104)/(SUM(Surfaces!$Q$84,Surfaces!$Q$91,Surfaces!$Q$98,Surfaces!$Q$106,Surfaces!$Q$112,Surfaces!$Q$115:$Q$119,Surfaces!$Q$130)+Surfaces!$Q$133),"")</f>
        <v/>
      </c>
    </row>
    <row r="94" spans="2:39" x14ac:dyDescent="0.3">
      <c r="B94" s="19"/>
      <c r="C94" s="52"/>
      <c r="D94" s="52"/>
      <c r="E94" s="52"/>
      <c r="F94" s="52"/>
      <c r="G94" s="52"/>
      <c r="H94" s="52"/>
      <c r="I94" s="52"/>
      <c r="J94" s="52"/>
      <c r="K94" s="52"/>
      <c r="L94" s="52"/>
      <c r="M94" s="52"/>
      <c r="N94" s="52"/>
      <c r="O94" s="52"/>
      <c r="P94" s="52"/>
      <c r="Q94" s="52"/>
      <c r="R94" s="52"/>
      <c r="S94" s="52"/>
      <c r="T94" s="52"/>
      <c r="U94" s="52"/>
      <c r="V94" s="52"/>
      <c r="W94" s="52"/>
      <c r="X94" s="52"/>
      <c r="Y94" s="20"/>
      <c r="AI94" s="36"/>
      <c r="AJ94" s="118"/>
    </row>
    <row r="95" spans="2:39" x14ac:dyDescent="0.3">
      <c r="B95" s="19"/>
      <c r="C95" s="42" t="s">
        <v>301</v>
      </c>
      <c r="Y95" s="20"/>
      <c r="AI95" s="36"/>
      <c r="AJ95" s="118"/>
    </row>
    <row r="96" spans="2:39" x14ac:dyDescent="0.3">
      <c r="B96" s="19"/>
      <c r="C96" s="65" t="s">
        <v>3161</v>
      </c>
      <c r="Y96" s="20"/>
      <c r="AI96" s="36"/>
      <c r="AJ96" s="118"/>
    </row>
    <row r="97" spans="2:36" ht="15" thickBot="1" x14ac:dyDescent="0.35">
      <c r="B97" s="19"/>
      <c r="C97" s="141" t="s">
        <v>3217</v>
      </c>
      <c r="Y97" s="20"/>
      <c r="AI97" s="36"/>
      <c r="AJ97" s="118"/>
    </row>
    <row r="98" spans="2:36" ht="35.25" customHeight="1" x14ac:dyDescent="0.3">
      <c r="B98" s="19"/>
      <c r="C98" s="804" t="s">
        <v>303</v>
      </c>
      <c r="D98" s="805"/>
      <c r="E98" s="805"/>
      <c r="F98" s="805"/>
      <c r="G98" s="805"/>
      <c r="H98" s="805"/>
      <c r="I98" s="806"/>
      <c r="J98" s="803" t="s">
        <v>328</v>
      </c>
      <c r="K98" s="800"/>
      <c r="L98" s="799" t="s">
        <v>3142</v>
      </c>
      <c r="M98" s="800"/>
      <c r="N98" s="803" t="s">
        <v>302</v>
      </c>
      <c r="O98" s="800"/>
      <c r="P98" s="803" t="s">
        <v>304</v>
      </c>
      <c r="Q98" s="927"/>
      <c r="V98" s="400"/>
      <c r="W98" s="400"/>
      <c r="Y98" s="20"/>
      <c r="AI98" s="36"/>
    </row>
    <row r="99" spans="2:36" ht="15" customHeight="1" x14ac:dyDescent="0.3">
      <c r="B99" s="19"/>
      <c r="C99" s="813" t="s">
        <v>3137</v>
      </c>
      <c r="D99" s="814"/>
      <c r="E99" s="814"/>
      <c r="F99" s="814"/>
      <c r="G99" s="814"/>
      <c r="H99" s="809" t="s">
        <v>299</v>
      </c>
      <c r="I99" s="810"/>
      <c r="J99" s="928"/>
      <c r="K99" s="932"/>
      <c r="L99" s="928"/>
      <c r="M99" s="932"/>
      <c r="N99" s="928"/>
      <c r="O99" s="932"/>
      <c r="P99" s="928"/>
      <c r="Q99" s="929"/>
      <c r="V99" s="401"/>
      <c r="W99" s="401"/>
      <c r="Y99" s="20"/>
    </row>
    <row r="100" spans="2:36" ht="15" thickBot="1" x14ac:dyDescent="0.35">
      <c r="B100" s="19"/>
      <c r="C100" s="815"/>
      <c r="D100" s="816"/>
      <c r="E100" s="816"/>
      <c r="F100" s="816"/>
      <c r="G100" s="816"/>
      <c r="H100" s="811" t="s">
        <v>300</v>
      </c>
      <c r="I100" s="812"/>
      <c r="J100" s="801"/>
      <c r="K100" s="802"/>
      <c r="L100" s="801"/>
      <c r="M100" s="802"/>
      <c r="N100" s="801"/>
      <c r="O100" s="802"/>
      <c r="P100" s="801"/>
      <c r="Q100" s="926"/>
      <c r="V100" s="401"/>
      <c r="W100" s="401"/>
      <c r="Y100" s="20"/>
    </row>
    <row r="101" spans="2:36" ht="15" customHeight="1" x14ac:dyDescent="0.3">
      <c r="B101" s="19"/>
      <c r="C101" s="817" t="s">
        <v>3138</v>
      </c>
      <c r="D101" s="712"/>
      <c r="E101" s="712"/>
      <c r="F101" s="712"/>
      <c r="G101" s="712"/>
      <c r="H101" s="913" t="s">
        <v>299</v>
      </c>
      <c r="I101" s="914"/>
      <c r="J101" s="797"/>
      <c r="K101" s="798"/>
      <c r="L101" s="797"/>
      <c r="M101" s="798"/>
      <c r="N101" s="797"/>
      <c r="O101" s="798"/>
      <c r="P101" s="797"/>
      <c r="Q101" s="925"/>
      <c r="R101" s="922" t="str">
        <f>IF(V74=2,"Choix d'un calcul de l'IFT sur 2 ans : saisir les IFT de la campagne N-1","")</f>
        <v/>
      </c>
      <c r="S101" s="923"/>
      <c r="T101" s="923"/>
      <c r="U101" s="923"/>
      <c r="V101" s="923"/>
      <c r="W101" s="923"/>
      <c r="X101" s="923"/>
      <c r="Y101" s="20"/>
    </row>
    <row r="102" spans="2:36" ht="15" thickBot="1" x14ac:dyDescent="0.35">
      <c r="B102" s="19"/>
      <c r="C102" s="815"/>
      <c r="D102" s="816"/>
      <c r="E102" s="816"/>
      <c r="F102" s="816"/>
      <c r="G102" s="816"/>
      <c r="H102" s="811" t="s">
        <v>300</v>
      </c>
      <c r="I102" s="812"/>
      <c r="J102" s="801"/>
      <c r="K102" s="802"/>
      <c r="L102" s="801"/>
      <c r="M102" s="802"/>
      <c r="N102" s="801"/>
      <c r="O102" s="802"/>
      <c r="P102" s="801"/>
      <c r="Q102" s="926"/>
      <c r="R102" s="922"/>
      <c r="S102" s="923"/>
      <c r="T102" s="923"/>
      <c r="U102" s="923"/>
      <c r="V102" s="923"/>
      <c r="W102" s="923"/>
      <c r="X102" s="923"/>
      <c r="Y102" s="20"/>
    </row>
    <row r="103" spans="2:36" ht="15" customHeight="1" x14ac:dyDescent="0.3">
      <c r="B103" s="19"/>
      <c r="C103" s="817" t="s">
        <v>3139</v>
      </c>
      <c r="D103" s="712"/>
      <c r="E103" s="712"/>
      <c r="F103" s="712"/>
      <c r="G103" s="712"/>
      <c r="H103" s="913" t="s">
        <v>299</v>
      </c>
      <c r="I103" s="914"/>
      <c r="J103" s="797"/>
      <c r="K103" s="798"/>
      <c r="L103" s="797"/>
      <c r="M103" s="798"/>
      <c r="N103" s="797"/>
      <c r="O103" s="798"/>
      <c r="P103" s="797"/>
      <c r="Q103" s="925"/>
      <c r="R103" s="922" t="str">
        <f>IF(V74=3,"Choix d'un calcul de l'IFT sur 3 ans : saisir les IFT des campagnes N-1 et N-2","")</f>
        <v/>
      </c>
      <c r="S103" s="923"/>
      <c r="T103" s="923"/>
      <c r="U103" s="923"/>
      <c r="V103" s="923"/>
      <c r="W103" s="923"/>
      <c r="X103" s="923"/>
      <c r="Y103" s="924"/>
    </row>
    <row r="104" spans="2:36" ht="15" thickBot="1" x14ac:dyDescent="0.35">
      <c r="B104" s="19"/>
      <c r="C104" s="817"/>
      <c r="D104" s="712"/>
      <c r="E104" s="712"/>
      <c r="F104" s="712"/>
      <c r="G104" s="712"/>
      <c r="H104" s="915" t="s">
        <v>300</v>
      </c>
      <c r="I104" s="916"/>
      <c r="J104" s="807"/>
      <c r="K104" s="889"/>
      <c r="L104" s="807"/>
      <c r="M104" s="889"/>
      <c r="N104" s="807"/>
      <c r="O104" s="889"/>
      <c r="P104" s="807"/>
      <c r="Q104" s="808"/>
      <c r="R104" s="922"/>
      <c r="S104" s="923"/>
      <c r="T104" s="923"/>
      <c r="U104" s="923"/>
      <c r="V104" s="923"/>
      <c r="W104" s="923"/>
      <c r="X104" s="923"/>
      <c r="Y104" s="924"/>
    </row>
    <row r="105" spans="2:36" ht="15" thickTop="1" x14ac:dyDescent="0.3">
      <c r="B105" s="19"/>
      <c r="C105" s="945" t="s">
        <v>3149</v>
      </c>
      <c r="D105" s="946"/>
      <c r="E105" s="946"/>
      <c r="F105" s="946"/>
      <c r="G105" s="947"/>
      <c r="H105" s="951" t="s">
        <v>299</v>
      </c>
      <c r="I105" s="952"/>
      <c r="J105" s="953" t="str">
        <f>IFERROR(IF($V$74=1,AJ88,IF($V$74=2,AVERAGE(AJ88,AJ90),IF($V$74=3,AVERAGE(AJ88,AJ90,AJ92),""))),"")</f>
        <v/>
      </c>
      <c r="K105" s="953"/>
      <c r="L105" s="953"/>
      <c r="M105" s="954"/>
      <c r="N105" s="885" t="str">
        <f>IFERROR(IF($V$74=1,AVERAGE(N99),IF($V$74=2,AVERAGE(N99,N101),IF($V$74=3,AVERAGE(N99,N101,N103),""))),"")</f>
        <v/>
      </c>
      <c r="O105" s="885"/>
      <c r="P105" s="885" t="str">
        <f>IFERROR(IF($V$74=1,AVERAGE(P99),IF($V$74=2,AVERAGE(P99,P101),IF($V$74=3,AVERAGE(P99,P101,P103),""))),"")</f>
        <v/>
      </c>
      <c r="Q105" s="886"/>
      <c r="V105" s="401"/>
      <c r="W105" s="401"/>
      <c r="Y105" s="20"/>
    </row>
    <row r="106" spans="2:36" ht="15" thickBot="1" x14ac:dyDescent="0.35">
      <c r="B106" s="19"/>
      <c r="C106" s="948"/>
      <c r="D106" s="949"/>
      <c r="E106" s="949"/>
      <c r="F106" s="949"/>
      <c r="G106" s="950"/>
      <c r="H106" s="915" t="s">
        <v>300</v>
      </c>
      <c r="I106" s="916"/>
      <c r="J106" s="955" t="str">
        <f>IFERROR(IF($V$74=1,AJ89,IF($V$74=2,AVERAGE(AJ89,AJ91),IF($V$74=3,AVERAGE(AJ89,AJ91,AJ93),""))),"")</f>
        <v/>
      </c>
      <c r="K106" s="956"/>
      <c r="L106" s="956"/>
      <c r="M106" s="956"/>
      <c r="N106" s="956" t="str">
        <f>IFERROR(IF($V$74=1,AVERAGE(N100),IF($V$74=2,AVERAGE(N100,N102),IF($V$74=3,AVERAGE(N100,N102,N104),""))),"")</f>
        <v/>
      </c>
      <c r="O106" s="956"/>
      <c r="P106" s="887" t="str">
        <f>IFERROR(IF($V$74=1,AVERAGE(P100),IF($V$74=2,AVERAGE(P100,P102),IF($V$74=3,AVERAGE(P100,P102,P104),""))),"")</f>
        <v/>
      </c>
      <c r="Q106" s="888"/>
      <c r="R106" s="195"/>
      <c r="V106" s="401"/>
      <c r="W106" s="401"/>
      <c r="Y106" s="20"/>
    </row>
    <row r="107" spans="2:36" ht="15.6" thickTop="1" thickBot="1" x14ac:dyDescent="0.35">
      <c r="B107" s="19"/>
      <c r="I107" s="84"/>
      <c r="P107" s="517"/>
      <c r="Q107" s="517"/>
      <c r="Y107" s="20"/>
    </row>
    <row r="108" spans="2:36" ht="30.75" customHeight="1" x14ac:dyDescent="0.3">
      <c r="B108" s="19"/>
      <c r="C108" s="393"/>
      <c r="D108" s="394"/>
      <c r="E108" s="394"/>
      <c r="F108" s="394"/>
      <c r="G108" s="395"/>
      <c r="H108" s="784" t="s">
        <v>3136</v>
      </c>
      <c r="I108" s="784"/>
      <c r="J108" s="864" t="s">
        <v>698</v>
      </c>
      <c r="K108" s="865"/>
      <c r="L108" s="869"/>
      <c r="M108" s="857" t="s">
        <v>302</v>
      </c>
      <c r="N108" s="857"/>
      <c r="O108" s="864" t="s">
        <v>698</v>
      </c>
      <c r="P108" s="865"/>
      <c r="Q108" s="869"/>
      <c r="R108" s="800" t="s">
        <v>304</v>
      </c>
      <c r="S108" s="857"/>
      <c r="T108" s="864" t="s">
        <v>698</v>
      </c>
      <c r="U108" s="865"/>
      <c r="V108" s="866"/>
      <c r="Y108" s="20"/>
    </row>
    <row r="109" spans="2:36" ht="23.25" customHeight="1" x14ac:dyDescent="0.3">
      <c r="B109" s="19"/>
      <c r="C109" s="396" t="s">
        <v>694</v>
      </c>
      <c r="H109" s="835" t="str">
        <f>IF(AND(J105&lt;&gt;"",J83&lt;&gt;""),IF(J105&lt;=L83,Paramètres!AP$12,IF(J105&lt;L83+((J83-L83)/4),Paramètres!AP$11,IF(J105&lt;L83+2*((J83-L83)/4),Paramètres!AP$10,IF(J105&lt;L83+3*((J83-L83)/4),Paramètres!AP$9,IF(J105&lt;=J83,Paramètres!$AP$8,IF(J105&gt;J83,Paramètres!AP$7,"")))))),"")</f>
        <v/>
      </c>
      <c r="I109" s="836"/>
      <c r="J109" s="870" t="str">
        <f>IF(Paramètres!AL5="","Il n'existe pour le moment qu'une seule échelle de notation.","L'utilisation de la note déterminée avec l'ancienne notation est acceptée uniquement pour les exploitations déjà certifiées sur la version 4 du plan de contrôle au moment de la mise à jour et jusqu'à la fin de la campagne " &amp; Paramètres!AM5 &amp; ". 
La mise à jour a été réalisée le " &amp; Paramètres!AL5 &amp; ".")</f>
        <v>L'utilisation de la note déterminée avec l'ancienne notation est acceptée uniquement pour les exploitations déjà certifiées sur la version 4 du plan de contrôle au moment de la mise à jour et jusqu'à la fin de la campagne 2025. 
La mise à jour a été réalisée le 12 juillet 2024.</v>
      </c>
      <c r="K109" s="871"/>
      <c r="L109" s="872"/>
      <c r="M109" s="879" t="str">
        <f>IF(AND(N105&lt;&gt;"",J87&lt;&gt;""),IF(N105&lt;=L87,Paramètres!AR$12,IF(N105&lt;L87+((J87-L87)/4),Paramètres!AR$11,IF(N105&lt;L87+2*((J87-L87)/4),Paramètres!AR$10,IF(N105&lt;L87+3*((J87-L87)/4),Paramètres!AR$9,IF(N105&lt;=J87,Paramètres!AR$8,IF(N105&gt;J87,Paramètres!AR$7,"")))))),"")</f>
        <v/>
      </c>
      <c r="N109" s="836"/>
      <c r="O109" s="870" t="str">
        <f>IF(Paramètres!AL6="","Il n'existe pour le moment qu'une seule échelle de notation.","L'utilisation de la note déterminée avec les anciennes valeurs est acceptée uniquement pour les exploitations déjà certifiées au moment de la mise à jour jusqu'à la fin de la campagne " &amp; Paramètres!AM6 &amp; ". La mise à jour de ces valeurs a été réalisée le  " &amp; Paramètres!AL6 &amp; ".")</f>
        <v>Il n'existe pour le moment qu'une seule échelle de notation.</v>
      </c>
      <c r="P109" s="871"/>
      <c r="Q109" s="872"/>
      <c r="R109" s="879" t="str">
        <f>IF(AND(P105&lt;&gt;"",J91&lt;&gt;""),IF(P105&lt;=L91,Paramètres!AT$12,IF(P105&lt;L91+((J91-L91)/4),Paramètres!AT$11,IF(P105&lt;L91+2*((J91-L91)/4),Paramètres!AT$10,IF(P105&lt;L91+3*((J91-L91)/4),Paramètres!AT$9,IF(P105&lt;=J91,Paramètres!AT$8,IF(P105&gt;J91,Paramètres!AT$7,"")))))),"")</f>
        <v/>
      </c>
      <c r="S109" s="836"/>
      <c r="T109" s="822" t="str">
        <f>IF(Paramètres!AL7="","Il n'existe pour le moment qu'une seule échelle de notation.","L'utilisation de la note déterminée avec les anciennes valeurs est acceptée uniquement pour les exploitations déjà certifiées au moment de la mise à jour jusqu'à la fin de la campagne " &amp; Paramètres!AM7 &amp; ". La mise à jour de ces valeurs a été réalisée le  " &amp; Paramètres!AL7 &amp; ".")</f>
        <v>Il n'existe pour le moment qu'une seule échelle de notation.</v>
      </c>
      <c r="U109" s="823"/>
      <c r="V109" s="824"/>
      <c r="Y109" s="20"/>
    </row>
    <row r="110" spans="2:36" ht="23.25" customHeight="1" x14ac:dyDescent="0.3">
      <c r="B110" s="19"/>
      <c r="C110" s="397" t="s">
        <v>695</v>
      </c>
      <c r="D110" s="48"/>
      <c r="E110" s="48"/>
      <c r="F110" s="48"/>
      <c r="G110" s="48"/>
      <c r="H110" s="835" t="str">
        <f>IF(AND(J106&lt;&gt;"",J84&lt;&gt;""),IF(J106&lt;=L84,Paramètres!AP$12,IF(J106&lt;L84+((J84-L84)/4),Paramètres!AP$11,IF(J106&lt;L84+2*((J84-L84)/4),Paramètres!AP$10,IF(J106&lt;L84+3*((J84-L84)/4),Paramètres!AP$9,IF(J106&lt;=J84,Paramètres!$AP$8,IF(J106&gt;J84,Paramètres!AP$7,"")))))),"")</f>
        <v/>
      </c>
      <c r="I110" s="836"/>
      <c r="J110" s="873"/>
      <c r="K110" s="874"/>
      <c r="L110" s="875"/>
      <c r="M110" s="879" t="str">
        <f>IF(AND(N106&lt;&gt;"",J88&lt;&gt;""),IF(N106&lt;=L88,Paramètres!AS$12,IF(N106&lt;L88+((J88-L88)/4),Paramètres!AS$11,IF(N106&lt;L88+2*((J88-L88)/4),Paramètres!AS$10,IF(N106&lt;L88+3*((J88-L88)/4),Paramètres!AS$9,IF(N106&lt;=J88,Paramètres!AS$8,IF(N106&gt;J88,Paramètres!AS$7,"")))))),"")</f>
        <v/>
      </c>
      <c r="N110" s="836"/>
      <c r="O110" s="873"/>
      <c r="P110" s="874"/>
      <c r="Q110" s="875"/>
      <c r="R110" s="879" t="str">
        <f>IF(AND(P106&lt;&gt;"",J92&lt;&gt;""),IF(P106&lt;=L92,Paramètres!AU$12,IF(P106&lt;L92+((J92-L92)/4),Paramètres!AU$11,IF(P106&lt;L92+2*((J92-L92)/4),Paramètres!AU$10,IF(P106&lt;L92+3*((J92-L92)/4),Paramètres!AU$9,IF(P106&lt;=J92,Paramètres!AU$8,IF(P106&gt;J92,Paramètres!AU$7,"")))))),"")</f>
        <v/>
      </c>
      <c r="S110" s="836"/>
      <c r="T110" s="825"/>
      <c r="U110" s="826"/>
      <c r="V110" s="827"/>
      <c r="Y110" s="20"/>
    </row>
    <row r="111" spans="2:36" ht="23.25" customHeight="1" x14ac:dyDescent="0.3">
      <c r="B111" s="19"/>
      <c r="C111" s="398" t="s">
        <v>696</v>
      </c>
      <c r="D111" s="47"/>
      <c r="E111" s="47"/>
      <c r="F111" s="47"/>
      <c r="G111" s="47"/>
      <c r="H111" s="820" t="str">
        <f>IF(AND(J105&lt;&gt;"",N83&lt;&gt;""),IF(J105&lt;=P83,Paramètres!AP$12,IF(J105&lt;P83+((N83-P83)/4),Paramètres!AP$11,IF(J105&lt;P83+2*((N83-P83)/4),Paramètres!AP$10,IF(J105&lt;P83+3*((N83-P83)/4),Paramètres!AP$9,IF(J105&lt;=N83,Paramètres!$AP$8,IF(J105&gt;N83,Paramètres!AP$7,"")))))),"")</f>
        <v/>
      </c>
      <c r="I111" s="821"/>
      <c r="J111" s="873"/>
      <c r="K111" s="874"/>
      <c r="L111" s="875"/>
      <c r="M111" s="818" t="str">
        <f>IF(AND(N105&lt;&gt;"",N87&lt;&gt;""),IF(N105&lt;=P87,Paramètres!AR$12,IF(N105&lt;P87+((N87-P87)/4),Paramètres!AR$11,IF(N105&lt;P87+2*((N87-P87)/4),Paramètres!AR$10,IF(N105&lt;P87+3*((N87-P87)/4),Paramètres!AR$9,IF(N105&lt;=N87,Paramètres!AR$8,IF(N105&gt;N87,Paramètres!AR$7,"")))))),"")</f>
        <v/>
      </c>
      <c r="N111" s="819"/>
      <c r="O111" s="873"/>
      <c r="P111" s="874"/>
      <c r="Q111" s="875"/>
      <c r="R111" s="818" t="str">
        <f>IF(AND(P105&lt;&gt;"",N91&lt;&gt;""),IF(P105&lt;=P91,Paramètres!AT$12,IF(P105&lt;P91+((N91-P91)/4),Paramètres!AT$11,IF(P105&lt;P91+2*((N91-P91)/4),Paramètres!AT$10,IF(P105&lt;P91+3*((N91-P91)/4),Paramètres!AT$9,IF(P105&lt;=N91,Paramètres!AT$8,IF(P105&gt;N91,Paramètres!AT$7,"")))))),"")</f>
        <v/>
      </c>
      <c r="S111" s="819"/>
      <c r="T111" s="825"/>
      <c r="U111" s="826"/>
      <c r="V111" s="827"/>
      <c r="Y111" s="20"/>
    </row>
    <row r="112" spans="2:36" ht="22.5" customHeight="1" thickBot="1" x14ac:dyDescent="0.35">
      <c r="B112" s="19"/>
      <c r="C112" s="399" t="s">
        <v>697</v>
      </c>
      <c r="D112" s="84"/>
      <c r="E112" s="84"/>
      <c r="F112" s="84"/>
      <c r="G112" s="84"/>
      <c r="H112" s="867" t="str">
        <f>IF(AND(J106&lt;&gt;"",N84&lt;&gt;""),IF(J106&lt;=P84,Paramètres!AP$12,IF(J106&lt;P84+((N84-P84)/4),Paramètres!AP$11,IF(J106&lt;P84+2*((N84-P84)/4),Paramètres!AP$10,IF(J106&lt;P84+3*((N84-P84)/4),Paramètres!AP$9,IF(J106&lt;=N84,Paramètres!$AP$8,IF(J106&gt;N84,Paramètres!AP$7,"")))))),"")</f>
        <v/>
      </c>
      <c r="I112" s="868"/>
      <c r="J112" s="876"/>
      <c r="K112" s="877"/>
      <c r="L112" s="878"/>
      <c r="M112" s="831" t="str">
        <f>IF(AND(N106&lt;&gt;"",N88&lt;&gt;""),IF(N106&lt;=P88,Paramètres!AS$12,IF(N106&lt;P88+((N88-P88)/4),Paramètres!AS$11,IF(N106&lt;P88+2*((N88-P88)/4),Paramètres!AS$10,IF(N106&lt;P88+3*((N88-P88)/4),Paramètres!AS$9,IF(N106&lt;=N88,Paramètres!AS$8,IF(N106&gt;N88,Paramètres!AS$7,"")))))),"")</f>
        <v/>
      </c>
      <c r="N112" s="832"/>
      <c r="O112" s="876"/>
      <c r="P112" s="877"/>
      <c r="Q112" s="878"/>
      <c r="R112" s="831" t="str">
        <f>IF(AND(P106&lt;&gt;"",N92&lt;&gt;""),IF(P106&lt;=P92,Paramètres!AU$12,IF(P106&lt;P92+((N92-P92)/4),Paramètres!AU$11,IF(P106&lt;P92+2*((N92-P92)/4),Paramètres!AU$10,IF(P106&lt;P92+3*((N92-P92)/4),Paramètres!AU$9,IF(P106&lt;=N92,Paramètres!AU$8,IF(P106&gt;N92,Paramètres!AU$7,"")))))),"")</f>
        <v/>
      </c>
      <c r="S112" s="832"/>
      <c r="T112" s="828"/>
      <c r="U112" s="829"/>
      <c r="V112" s="830"/>
      <c r="Y112" s="20"/>
    </row>
    <row r="113" spans="2:25" x14ac:dyDescent="0.3">
      <c r="B113" s="19"/>
      <c r="Y113" s="20"/>
    </row>
    <row r="114" spans="2:25" x14ac:dyDescent="0.3">
      <c r="B114" s="19"/>
      <c r="C114" s="384"/>
      <c r="D114" s="52"/>
      <c r="E114" s="52"/>
      <c r="F114" s="52"/>
      <c r="G114" s="52"/>
      <c r="H114" s="52"/>
      <c r="I114" s="52"/>
      <c r="J114" s="52"/>
      <c r="K114" s="52"/>
      <c r="L114" s="52"/>
      <c r="M114" s="52"/>
      <c r="N114" s="52"/>
      <c r="O114" s="52"/>
      <c r="P114" s="52"/>
      <c r="Q114" s="52"/>
      <c r="R114" s="52"/>
      <c r="S114" s="52"/>
      <c r="T114" s="53"/>
      <c r="Y114" s="20"/>
    </row>
    <row r="115" spans="2:25" x14ac:dyDescent="0.3">
      <c r="B115" s="19"/>
      <c r="C115" s="62"/>
      <c r="D115" s="108" t="s">
        <v>699</v>
      </c>
      <c r="E115" s="47"/>
      <c r="F115" s="47"/>
      <c r="G115" s="47"/>
      <c r="H115" s="747"/>
      <c r="I115" s="748"/>
      <c r="J115" s="550"/>
      <c r="K115" s="47"/>
      <c r="L115" s="43"/>
      <c r="M115" s="747"/>
      <c r="N115" s="748"/>
      <c r="O115" s="60"/>
      <c r="P115" s="47"/>
      <c r="Q115" s="43"/>
      <c r="R115" s="747"/>
      <c r="S115" s="748"/>
      <c r="T115" s="55"/>
      <c r="U115" s="141"/>
      <c r="Y115" s="20"/>
    </row>
    <row r="116" spans="2:25" x14ac:dyDescent="0.3">
      <c r="B116" s="19"/>
      <c r="C116" s="57"/>
      <c r="D116" s="176" t="str">
        <f>IF(AND(ISBLANK(GC_ANCIENNE_NOTATION),SUM(J99:M100)&gt;0),"Saisir la cellule pour les Grandes cultures pour le calcul des points.","")</f>
        <v/>
      </c>
      <c r="E116" s="40"/>
      <c r="F116" s="40"/>
      <c r="G116" s="40"/>
      <c r="H116" s="176"/>
      <c r="I116" s="40"/>
      <c r="J116" s="40"/>
      <c r="K116" s="170"/>
      <c r="L116" s="170"/>
      <c r="M116" s="170"/>
      <c r="N116" s="170"/>
      <c r="O116" s="40"/>
      <c r="P116" s="40"/>
      <c r="Q116" s="40"/>
      <c r="R116" s="40"/>
      <c r="S116" s="40"/>
      <c r="T116" s="58"/>
      <c r="Y116" s="20"/>
    </row>
    <row r="117" spans="2:25" x14ac:dyDescent="0.3">
      <c r="B117" s="19"/>
      <c r="Y117" s="20"/>
    </row>
    <row r="118" spans="2:25" x14ac:dyDescent="0.3">
      <c r="B118" s="19"/>
      <c r="K118" s="678" t="s">
        <v>844</v>
      </c>
      <c r="L118" s="678"/>
      <c r="M118" s="678" t="s">
        <v>3204</v>
      </c>
      <c r="N118" s="678"/>
      <c r="O118" s="547" t="s">
        <v>3205</v>
      </c>
      <c r="P118" s="547"/>
      <c r="Y118" s="20"/>
    </row>
    <row r="119" spans="2:25" x14ac:dyDescent="0.3">
      <c r="B119" s="19"/>
      <c r="D119" s="75" t="s">
        <v>328</v>
      </c>
      <c r="E119" s="75"/>
      <c r="F119" s="75"/>
      <c r="G119" s="75"/>
      <c r="H119" s="75"/>
      <c r="I119" s="75"/>
      <c r="J119" s="100"/>
      <c r="K119" s="758">
        <f>IFERROR(IF($V$74=1,SUM(Surfaces!O115:O119,Surfaces!O84,Surfaces!O91,Surfaces!O98,Surfaces!O106,Surfaces!O112,Surfaces!O130,Surfaces!O133),IF($V$74=2,AVERAGE(SUM(Surfaces!O115:O119,Surfaces!O84,Surfaces!O91,Surfaces!O98,Surfaces!O106,Surfaces!O112,Surfaces!O130,Surfaces!O133),SUM(Surfaces!P115:P119,Surfaces!P84,Surfaces!P91,Surfaces!P98,Surfaces!P106,Surfaces!P112,Surfaces!P130,Surfaces!P133)),IF($V$74=3,AVERAGE(SUM(Surfaces!O115:O119,Surfaces!O84,Surfaces!O91,Surfaces!O98,Surfaces!O106,Surfaces!O112,Surfaces!O130,Surfaces!O133),SUM(Surfaces!P115:P119,Surfaces!P84,Surfaces!P91,Surfaces!P98,Surfaces!P106,Surfaces!P112,Surfaces!P130,Surfaces!P133),SUM(Surfaces!Q115:Q119,Surfaces!Q84,Surfaces!Q91,Surfaces!Q98,Surfaces!Q106,Surfaces!Q112,Surfaces!Q130,Surfaces!Q133)),0))),0)</f>
        <v>0</v>
      </c>
      <c r="L119" s="759"/>
      <c r="M119" s="778">
        <f>IFERROR(IF(AND(cSAU=0,H115=""),0,IF(H115="Oui",SUM(H111:I112)*(K119/$K$122),IF(H115="Non",SUM(H109:I110)*(K119/$K$122),0))),0)</f>
        <v>0</v>
      </c>
      <c r="N119" s="779"/>
      <c r="O119" s="694">
        <f>IFERROR(IF(cSAU=0,10,((Paramètres!AP5+Paramètres!AQ5)*K119)/K122),0)</f>
        <v>10</v>
      </c>
      <c r="P119" s="695"/>
      <c r="Y119" s="20"/>
    </row>
    <row r="120" spans="2:25" x14ac:dyDescent="0.3">
      <c r="B120" s="19"/>
      <c r="D120" s="76" t="s">
        <v>122</v>
      </c>
      <c r="E120" s="76"/>
      <c r="F120" s="76"/>
      <c r="G120" s="76"/>
      <c r="H120" s="76"/>
      <c r="I120" s="76"/>
      <c r="J120" s="101"/>
      <c r="K120" s="758">
        <f>IFERROR(IF($V$74=1,SUM(Surfaces!O142),IF($V$74=2,SUM(Surfaces!O142,Surfaces!P142)/2,IF($V$74=3,SUM(Surfaces!O142,Surfaces!P142,Surfaces!Q142)/3,0))),0)</f>
        <v>0</v>
      </c>
      <c r="L120" s="759"/>
      <c r="M120" s="778">
        <f>IFERROR(IF(cSAU = 0,0,IF(M115="Oui",SUM(M111:N112)*(K120/$K$122),SUM(M109:N110)*(K120/$K$122))),0)</f>
        <v>0</v>
      </c>
      <c r="N120" s="779"/>
      <c r="O120" s="780">
        <f>IFERROR(IF(cSAU=0,10,((Paramètres!AR5+Paramètres!AS5)*K120)/K122),0)</f>
        <v>10</v>
      </c>
      <c r="P120" s="781"/>
      <c r="Y120" s="20"/>
    </row>
    <row r="121" spans="2:25" x14ac:dyDescent="0.3">
      <c r="B121" s="19"/>
      <c r="D121" s="76" t="s">
        <v>304</v>
      </c>
      <c r="E121" s="76"/>
      <c r="F121" s="76"/>
      <c r="G121" s="76"/>
      <c r="H121" s="76"/>
      <c r="I121" s="76"/>
      <c r="J121" s="101"/>
      <c r="K121" s="758">
        <f>IFERROR(IF($V$74=1,SUM(Surfaces!O145:O159),IF($V$74=2,AVERAGE(SUM(Surfaces!O145:O159),SUM(Surfaces!P145:P159)),IF($V$74=3,AVERAGE(SUM(Surfaces!O145:O159),SUM(Surfaces!P145:P159),SUM(Surfaces!Q145:Q159)),0))),0)</f>
        <v>0</v>
      </c>
      <c r="L121" s="759"/>
      <c r="M121" s="778">
        <f>IFERROR(IF(cSAU = 0,0,IF(R115="Oui",SUM(R111:S112)*(K121/$K$122),SUM(R109:S110)*(K121/$K$122))),0)</f>
        <v>0</v>
      </c>
      <c r="N121" s="779"/>
      <c r="O121" s="780">
        <f>IFERROR(IF(cSAU=0,6,((Paramètres!AT5+Paramètres!AU5)*K121)/K122),0)</f>
        <v>6</v>
      </c>
      <c r="P121" s="781"/>
      <c r="Y121" s="20"/>
    </row>
    <row r="122" spans="2:25" x14ac:dyDescent="0.3">
      <c r="B122" s="19"/>
      <c r="D122" s="76" t="s">
        <v>294</v>
      </c>
      <c r="E122" s="76"/>
      <c r="F122" s="76"/>
      <c r="G122" s="76"/>
      <c r="H122" s="76"/>
      <c r="I122" s="76"/>
      <c r="J122" s="101"/>
      <c r="K122" s="758">
        <f>IFERROR(IF($V$74=1,SUM(Surfaces!O25),IF($V$74=2,SUM(Surfaces!O25,Surfaces!P25)/2,IF($V$74=3,SUM(Surfaces!O25,Surfaces!P25,Surfaces!Q25)/3,0))),0)</f>
        <v>0</v>
      </c>
      <c r="L122" s="759"/>
      <c r="Y122" s="20"/>
    </row>
    <row r="123" spans="2:25" x14ac:dyDescent="0.3">
      <c r="B123" s="19"/>
      <c r="D123" s="76" t="s">
        <v>384</v>
      </c>
      <c r="E123" s="76"/>
      <c r="F123" s="76"/>
      <c r="G123" s="76"/>
      <c r="H123" s="76"/>
      <c r="I123" s="76"/>
      <c r="J123" s="101"/>
      <c r="K123" s="902">
        <f>IFERROR(SUM(K119:L121)/K122,0)</f>
        <v>0</v>
      </c>
      <c r="L123" s="903"/>
      <c r="Y123" s="20"/>
    </row>
    <row r="124" spans="2:25" x14ac:dyDescent="0.3">
      <c r="B124" s="19"/>
      <c r="D124" s="76" t="s">
        <v>412</v>
      </c>
      <c r="E124" s="76"/>
      <c r="F124" s="76"/>
      <c r="G124" s="76"/>
      <c r="H124" s="76"/>
      <c r="I124" s="76"/>
      <c r="J124" s="76"/>
      <c r="K124" s="178"/>
      <c r="L124" s="45"/>
      <c r="M124" s="858">
        <f>IF(cSAU = 0,0,IF(ISBLANK(L11),0,IF(ISBLANK(V74),0,IF(UTILISATION_CMR1="Oui",0,SUM(M119:N121)))))</f>
        <v>0</v>
      </c>
      <c r="N124" s="904"/>
      <c r="O124" s="855">
        <f>IF(cSAU=0,10,SUM(O119:P121))</f>
        <v>10</v>
      </c>
      <c r="P124" s="856"/>
      <c r="Y124" s="20"/>
    </row>
    <row r="125" spans="2:25" x14ac:dyDescent="0.3">
      <c r="B125" s="19"/>
      <c r="Y125" s="20"/>
    </row>
    <row r="126" spans="2:25" x14ac:dyDescent="0.3">
      <c r="B126" s="19"/>
      <c r="Y126" s="20"/>
    </row>
    <row r="127" spans="2:25" x14ac:dyDescent="0.3">
      <c r="B127" s="19"/>
      <c r="D127" s="70" t="s">
        <v>2472</v>
      </c>
      <c r="Y127" s="20"/>
    </row>
    <row r="128" spans="2:25" x14ac:dyDescent="0.3">
      <c r="B128" s="19"/>
      <c r="D128" s="652"/>
      <c r="E128" s="653"/>
      <c r="F128" s="653"/>
      <c r="G128" s="653"/>
      <c r="H128" s="653"/>
      <c r="I128" s="653"/>
      <c r="J128" s="653"/>
      <c r="K128" s="653"/>
      <c r="L128" s="653"/>
      <c r="M128" s="653"/>
      <c r="N128" s="653"/>
      <c r="O128" s="653"/>
      <c r="P128" s="653"/>
      <c r="Q128" s="653"/>
      <c r="R128" s="653"/>
      <c r="S128" s="653"/>
      <c r="T128" s="653"/>
      <c r="U128" s="653"/>
      <c r="V128" s="653"/>
      <c r="W128" s="653"/>
      <c r="X128" s="654"/>
      <c r="Y128" s="20"/>
    </row>
    <row r="129" spans="2:25" x14ac:dyDescent="0.3">
      <c r="B129" s="19"/>
      <c r="D129" s="655"/>
      <c r="E129" s="656"/>
      <c r="F129" s="656"/>
      <c r="G129" s="656"/>
      <c r="H129" s="656"/>
      <c r="I129" s="656"/>
      <c r="J129" s="656"/>
      <c r="K129" s="656"/>
      <c r="L129" s="656"/>
      <c r="M129" s="656"/>
      <c r="N129" s="656"/>
      <c r="O129" s="656"/>
      <c r="P129" s="656"/>
      <c r="Q129" s="656"/>
      <c r="R129" s="656"/>
      <c r="S129" s="656"/>
      <c r="T129" s="656"/>
      <c r="U129" s="656"/>
      <c r="V129" s="656"/>
      <c r="W129" s="656"/>
      <c r="X129" s="657"/>
      <c r="Y129" s="20"/>
    </row>
    <row r="130" spans="2:25" x14ac:dyDescent="0.3">
      <c r="B130" s="19"/>
      <c r="D130" s="655"/>
      <c r="E130" s="656"/>
      <c r="F130" s="656"/>
      <c r="G130" s="656"/>
      <c r="H130" s="656"/>
      <c r="I130" s="656"/>
      <c r="J130" s="656"/>
      <c r="K130" s="656"/>
      <c r="L130" s="656"/>
      <c r="M130" s="656"/>
      <c r="N130" s="656"/>
      <c r="O130" s="656"/>
      <c r="P130" s="656"/>
      <c r="Q130" s="656"/>
      <c r="R130" s="656"/>
      <c r="S130" s="656"/>
      <c r="T130" s="656"/>
      <c r="U130" s="656"/>
      <c r="V130" s="656"/>
      <c r="W130" s="656"/>
      <c r="X130" s="657"/>
      <c r="Y130" s="20"/>
    </row>
    <row r="131" spans="2:25" x14ac:dyDescent="0.3">
      <c r="B131" s="19"/>
      <c r="D131" s="655"/>
      <c r="E131" s="656"/>
      <c r="F131" s="656"/>
      <c r="G131" s="656"/>
      <c r="H131" s="656"/>
      <c r="I131" s="656"/>
      <c r="J131" s="656"/>
      <c r="K131" s="656"/>
      <c r="L131" s="656"/>
      <c r="M131" s="656"/>
      <c r="N131" s="656"/>
      <c r="O131" s="656"/>
      <c r="P131" s="656"/>
      <c r="Q131" s="656"/>
      <c r="R131" s="656"/>
      <c r="S131" s="656"/>
      <c r="T131" s="656"/>
      <c r="U131" s="656"/>
      <c r="V131" s="656"/>
      <c r="W131" s="656"/>
      <c r="X131" s="657"/>
      <c r="Y131" s="20"/>
    </row>
    <row r="132" spans="2:25" x14ac:dyDescent="0.3">
      <c r="B132" s="19"/>
      <c r="D132" s="655"/>
      <c r="E132" s="656"/>
      <c r="F132" s="656"/>
      <c r="G132" s="656"/>
      <c r="H132" s="656"/>
      <c r="I132" s="656"/>
      <c r="J132" s="656"/>
      <c r="K132" s="656"/>
      <c r="L132" s="656"/>
      <c r="M132" s="656"/>
      <c r="N132" s="656"/>
      <c r="O132" s="656"/>
      <c r="P132" s="656"/>
      <c r="Q132" s="656"/>
      <c r="R132" s="656"/>
      <c r="S132" s="656"/>
      <c r="T132" s="656"/>
      <c r="U132" s="656"/>
      <c r="V132" s="656"/>
      <c r="W132" s="656"/>
      <c r="X132" s="657"/>
      <c r="Y132" s="20"/>
    </row>
    <row r="133" spans="2:25" x14ac:dyDescent="0.3">
      <c r="B133" s="19"/>
      <c r="D133" s="655"/>
      <c r="E133" s="656"/>
      <c r="F133" s="656"/>
      <c r="G133" s="656"/>
      <c r="H133" s="656"/>
      <c r="I133" s="656"/>
      <c r="J133" s="656"/>
      <c r="K133" s="656"/>
      <c r="L133" s="656"/>
      <c r="M133" s="656"/>
      <c r="N133" s="656"/>
      <c r="O133" s="656"/>
      <c r="P133" s="656"/>
      <c r="Q133" s="656"/>
      <c r="R133" s="656"/>
      <c r="S133" s="656"/>
      <c r="T133" s="656"/>
      <c r="U133" s="656"/>
      <c r="V133" s="656"/>
      <c r="W133" s="656"/>
      <c r="X133" s="657"/>
      <c r="Y133" s="20"/>
    </row>
    <row r="134" spans="2:25" x14ac:dyDescent="0.3">
      <c r="B134" s="19"/>
      <c r="D134" s="655"/>
      <c r="E134" s="656"/>
      <c r="F134" s="656"/>
      <c r="G134" s="656"/>
      <c r="H134" s="656"/>
      <c r="I134" s="656"/>
      <c r="J134" s="656"/>
      <c r="K134" s="656"/>
      <c r="L134" s="656"/>
      <c r="M134" s="656"/>
      <c r="N134" s="656"/>
      <c r="O134" s="656"/>
      <c r="P134" s="656"/>
      <c r="Q134" s="656"/>
      <c r="R134" s="656"/>
      <c r="S134" s="656"/>
      <c r="T134" s="656"/>
      <c r="U134" s="656"/>
      <c r="V134" s="656"/>
      <c r="W134" s="656"/>
      <c r="X134" s="657"/>
      <c r="Y134" s="20"/>
    </row>
    <row r="135" spans="2:25" x14ac:dyDescent="0.3">
      <c r="B135" s="19"/>
      <c r="D135" s="655"/>
      <c r="E135" s="656"/>
      <c r="F135" s="656"/>
      <c r="G135" s="656"/>
      <c r="H135" s="656"/>
      <c r="I135" s="656"/>
      <c r="J135" s="656"/>
      <c r="K135" s="656"/>
      <c r="L135" s="656"/>
      <c r="M135" s="656"/>
      <c r="N135" s="656"/>
      <c r="O135" s="656"/>
      <c r="P135" s="656"/>
      <c r="Q135" s="656"/>
      <c r="R135" s="656"/>
      <c r="S135" s="656"/>
      <c r="T135" s="656"/>
      <c r="U135" s="656"/>
      <c r="V135" s="656"/>
      <c r="W135" s="656"/>
      <c r="X135" s="657"/>
      <c r="Y135" s="20"/>
    </row>
    <row r="136" spans="2:25" x14ac:dyDescent="0.3">
      <c r="B136" s="19"/>
      <c r="D136" s="655"/>
      <c r="E136" s="656"/>
      <c r="F136" s="656"/>
      <c r="G136" s="656"/>
      <c r="H136" s="656"/>
      <c r="I136" s="656"/>
      <c r="J136" s="656"/>
      <c r="K136" s="656"/>
      <c r="L136" s="656"/>
      <c r="M136" s="656"/>
      <c r="N136" s="656"/>
      <c r="O136" s="656"/>
      <c r="P136" s="656"/>
      <c r="Q136" s="656"/>
      <c r="R136" s="656"/>
      <c r="S136" s="656"/>
      <c r="T136" s="656"/>
      <c r="U136" s="656"/>
      <c r="V136" s="656"/>
      <c r="W136" s="656"/>
      <c r="X136" s="657"/>
      <c r="Y136" s="20"/>
    </row>
    <row r="137" spans="2:25" x14ac:dyDescent="0.3">
      <c r="B137" s="19"/>
      <c r="D137" s="658"/>
      <c r="E137" s="659"/>
      <c r="F137" s="659"/>
      <c r="G137" s="659"/>
      <c r="H137" s="659"/>
      <c r="I137" s="659"/>
      <c r="J137" s="659"/>
      <c r="K137" s="659"/>
      <c r="L137" s="659"/>
      <c r="M137" s="659"/>
      <c r="N137" s="659"/>
      <c r="O137" s="659"/>
      <c r="P137" s="659"/>
      <c r="Q137" s="659"/>
      <c r="R137" s="659"/>
      <c r="S137" s="659"/>
      <c r="T137" s="659"/>
      <c r="U137" s="659"/>
      <c r="V137" s="659"/>
      <c r="W137" s="659"/>
      <c r="X137" s="660"/>
      <c r="Y137" s="20"/>
    </row>
    <row r="138" spans="2:25" x14ac:dyDescent="0.3">
      <c r="B138" s="19"/>
      <c r="Y138" s="20"/>
    </row>
    <row r="139" spans="2:25" ht="15" thickBot="1" x14ac:dyDescent="0.35">
      <c r="B139" s="22"/>
      <c r="C139" s="23"/>
      <c r="D139" s="23"/>
      <c r="E139" s="23"/>
      <c r="F139" s="23"/>
      <c r="G139" s="23"/>
      <c r="H139" s="23"/>
      <c r="I139" s="23"/>
      <c r="J139" s="23"/>
      <c r="K139" s="23"/>
      <c r="L139" s="23"/>
      <c r="M139" s="23"/>
      <c r="N139" s="23"/>
      <c r="O139" s="23"/>
      <c r="P139" s="23"/>
      <c r="Q139" s="23"/>
      <c r="R139" s="23"/>
      <c r="S139" s="23"/>
      <c r="T139" s="23"/>
      <c r="U139" s="23"/>
      <c r="V139" s="23"/>
      <c r="W139" s="23"/>
      <c r="X139" s="23"/>
      <c r="Y139" s="24"/>
    </row>
    <row r="142" spans="2:25" ht="15" thickBot="1" x14ac:dyDescent="0.35"/>
    <row r="143" spans="2:25" x14ac:dyDescent="0.3">
      <c r="B143" s="16"/>
      <c r="C143" s="17"/>
      <c r="D143" s="17"/>
      <c r="E143" s="17"/>
      <c r="F143" s="17"/>
      <c r="G143" s="17"/>
      <c r="H143" s="17"/>
      <c r="I143" s="17"/>
      <c r="J143" s="17"/>
      <c r="K143" s="17"/>
      <c r="L143" s="17"/>
      <c r="M143" s="17"/>
      <c r="N143" s="17"/>
      <c r="O143" s="17"/>
      <c r="P143" s="17"/>
      <c r="Q143" s="17"/>
      <c r="R143" s="17"/>
      <c r="S143" s="17"/>
      <c r="T143" s="17"/>
      <c r="U143" s="17"/>
      <c r="V143" s="17"/>
      <c r="W143" s="17"/>
      <c r="X143" s="17"/>
      <c r="Y143" s="18"/>
    </row>
    <row r="144" spans="2:25" x14ac:dyDescent="0.3">
      <c r="B144" s="19"/>
      <c r="Y144" s="20"/>
    </row>
    <row r="145" spans="2:38" x14ac:dyDescent="0.3">
      <c r="B145" s="19"/>
      <c r="C145" s="141" t="s">
        <v>2549</v>
      </c>
      <c r="Y145" s="20"/>
    </row>
    <row r="146" spans="2:38" x14ac:dyDescent="0.3">
      <c r="B146" s="19"/>
      <c r="Q146" s="900" t="s">
        <v>711</v>
      </c>
      <c r="R146" s="900"/>
      <c r="S146" s="894" t="s">
        <v>290</v>
      </c>
      <c r="T146" s="894"/>
      <c r="U146" s="894" t="s">
        <v>289</v>
      </c>
      <c r="V146" s="894"/>
      <c r="Y146" s="20"/>
    </row>
    <row r="147" spans="2:38" x14ac:dyDescent="0.3">
      <c r="B147" s="19"/>
      <c r="C147" s="47" t="str">
        <f>"Substances actives appliquées pendant une campagne sur les surfaces en horticulture et pépinière (" &amp; TEXT(cCampagneN,"0000-00") &amp; ")"</f>
        <v>Substances actives appliquées pendant une campagne sur les surfaces en horticulture et pépinière (N)</v>
      </c>
      <c r="D147" s="47"/>
      <c r="E147" s="47"/>
      <c r="F147" s="47"/>
      <c r="G147" s="47"/>
      <c r="H147" s="47"/>
      <c r="I147" s="47"/>
      <c r="J147" s="47"/>
      <c r="K147" s="47"/>
      <c r="L147" s="47"/>
      <c r="M147" s="47"/>
      <c r="N147" s="47"/>
      <c r="O147" s="47"/>
      <c r="P147" s="43"/>
      <c r="Q147" s="897"/>
      <c r="R147" s="897"/>
      <c r="S147" s="796">
        <f>SUM(Paramètres!Y5:Y25)</f>
        <v>0</v>
      </c>
      <c r="T147" s="796"/>
      <c r="U147" s="796">
        <f>SUM(Paramètres!X5:X25)</f>
        <v>0</v>
      </c>
      <c r="V147" s="796"/>
      <c r="Y147" s="20"/>
    </row>
    <row r="148" spans="2:38" x14ac:dyDescent="0.3">
      <c r="B148" s="19"/>
      <c r="C148" s="47" t="str">
        <f>"Substances actives appliquées pendant une campagne sur les surfaces en horticulture et pépinière (" &amp; cCampagneN1 &amp; ")"</f>
        <v>Substances actives appliquées pendant une campagne sur les surfaces en horticulture et pépinière (N-1)</v>
      </c>
      <c r="D148" s="47"/>
      <c r="E148" s="47"/>
      <c r="F148" s="47"/>
      <c r="G148" s="47"/>
      <c r="H148" s="47"/>
      <c r="I148" s="47"/>
      <c r="J148" s="47"/>
      <c r="K148" s="47"/>
      <c r="L148" s="47"/>
      <c r="M148" s="47"/>
      <c r="N148" s="47"/>
      <c r="O148" s="47"/>
      <c r="P148" s="43"/>
      <c r="Q148" s="897"/>
      <c r="R148" s="897"/>
      <c r="S148" s="796">
        <f>SUM(Paramètres!AC5:AC25)</f>
        <v>0</v>
      </c>
      <c r="T148" s="796"/>
      <c r="U148" s="796">
        <f>SUM(Paramètres!AB5:AB25)</f>
        <v>0</v>
      </c>
      <c r="V148" s="796"/>
      <c r="Y148" s="20"/>
    </row>
    <row r="149" spans="2:38" x14ac:dyDescent="0.3">
      <c r="B149" s="19"/>
      <c r="C149" s="47" t="str">
        <f>"Substances actives appliquées pendant une campagne sur les surfaces en horticulture et pépinière (" &amp; CCampagneN2 &amp; ")"</f>
        <v>Substances actives appliquées pendant une campagne sur les surfaces en horticulture et pépinière (N-2)</v>
      </c>
      <c r="D149" s="47"/>
      <c r="E149" s="47"/>
      <c r="F149" s="47"/>
      <c r="G149" s="47"/>
      <c r="H149" s="47"/>
      <c r="I149" s="47"/>
      <c r="J149" s="47"/>
      <c r="K149" s="47"/>
      <c r="L149" s="47"/>
      <c r="M149" s="47"/>
      <c r="N149" s="47"/>
      <c r="O149" s="47"/>
      <c r="P149" s="43"/>
      <c r="Q149" s="897"/>
      <c r="R149" s="897"/>
      <c r="S149" s="796">
        <f>SUM(Paramètres!AG5:AG25)</f>
        <v>0</v>
      </c>
      <c r="T149" s="796"/>
      <c r="U149" s="796">
        <f>SUM(Paramètres!AF5:AF25)</f>
        <v>0</v>
      </c>
      <c r="V149" s="796"/>
      <c r="Y149" s="20"/>
      <c r="AH149" t="s">
        <v>244</v>
      </c>
    </row>
    <row r="150" spans="2:38" x14ac:dyDescent="0.3">
      <c r="B150" s="19"/>
      <c r="M150" s="151"/>
      <c r="N150" s="151"/>
      <c r="O150" s="151"/>
      <c r="P150" s="151"/>
      <c r="Q150" s="374" t="str">
        <f>IF(Q153&lt;&gt;"","Bien saisir les quantités sur " &amp; Q153&amp; " campagne(s), tout comme les surfaces et durées dans l'onglet Surfaces.","")</f>
        <v/>
      </c>
      <c r="R150" s="151"/>
      <c r="S150" s="127"/>
      <c r="U150" s="127"/>
      <c r="Y150" s="20"/>
      <c r="AH150" s="303" t="s">
        <v>731</v>
      </c>
      <c r="AI150" s="299" t="s">
        <v>732</v>
      </c>
      <c r="AJ150" s="299" t="s">
        <v>733</v>
      </c>
      <c r="AK150" s="299" t="s">
        <v>734</v>
      </c>
      <c r="AL150" s="299" t="s">
        <v>735</v>
      </c>
    </row>
    <row r="151" spans="2:38" x14ac:dyDescent="0.3">
      <c r="B151" s="19"/>
      <c r="M151" s="151"/>
      <c r="N151" s="151"/>
      <c r="O151" s="151"/>
      <c r="P151" s="151"/>
      <c r="Q151" s="151"/>
      <c r="R151" s="151"/>
      <c r="Y151" s="20"/>
      <c r="Z151" s="127"/>
      <c r="AH151" s="299">
        <f>(Q155-Q156)/4</f>
        <v>0</v>
      </c>
      <c r="AI151" s="299">
        <f>AH151*2</f>
        <v>0</v>
      </c>
      <c r="AJ151" s="299">
        <f>AH151*3</f>
        <v>0</v>
      </c>
      <c r="AK151" s="299">
        <f>AH151*4</f>
        <v>0</v>
      </c>
      <c r="AL151" s="304">
        <f>IF(Q154&lt;Q156,5,IF(AND(Q154&gt;=Q156,Q154&lt;(Q156+AH151)),4,IF(AND(Q154&gt;=(Q156+AH151),Q154&lt;(Q156+AI151)),3,IF(AND(Q154&gt;=(Q156+AI151),Q154&lt;(Q156+AJ151)),2,IF(AND(Q154&gt;=(Q156+AJ151),Q154&lt;Q155),1,0)))))</f>
        <v>0</v>
      </c>
    </row>
    <row r="152" spans="2:38" x14ac:dyDescent="0.3">
      <c r="B152" s="19"/>
      <c r="O152" s="151"/>
      <c r="P152" s="151"/>
      <c r="Q152" s="151"/>
      <c r="R152" s="151"/>
      <c r="Y152" s="20"/>
    </row>
    <row r="153" spans="2:38" x14ac:dyDescent="0.3">
      <c r="B153" s="19"/>
      <c r="C153" s="75" t="s">
        <v>2553</v>
      </c>
      <c r="D153" s="75"/>
      <c r="E153" s="75"/>
      <c r="F153" s="75"/>
      <c r="G153" s="75"/>
      <c r="H153" s="75"/>
      <c r="I153" s="75"/>
      <c r="J153" s="75"/>
      <c r="K153" s="75"/>
      <c r="L153" s="75"/>
      <c r="M153" s="75"/>
      <c r="N153" s="75"/>
      <c r="O153" s="75"/>
      <c r="P153" s="75"/>
      <c r="Q153" s="901" t="str">
        <f>IF(cTypeAudit="","",IF(cTypeAudit="Initial",1,IF(cTypeAudit="Suivi",2,3)))</f>
        <v/>
      </c>
      <c r="R153" s="901"/>
      <c r="S153" s="546" t="str">
        <f>IF(Q153="","Saisir le type d'audit dans l'onglet Identification","")</f>
        <v>Saisir le type d'audit dans l'onglet Identification</v>
      </c>
      <c r="Y153" s="20"/>
    </row>
    <row r="154" spans="2:38" x14ac:dyDescent="0.3">
      <c r="B154" s="19"/>
      <c r="C154" s="75" t="str">
        <f>"Quantité totale appliquée sur " &amp; Q153 &amp; " campagne(s)"</f>
        <v>Quantité totale appliquée sur  campagne(s)</v>
      </c>
      <c r="D154" s="75"/>
      <c r="E154" s="75"/>
      <c r="F154" s="75"/>
      <c r="G154" s="75"/>
      <c r="H154" s="75"/>
      <c r="I154" s="75"/>
      <c r="J154" s="75"/>
      <c r="K154" s="75"/>
      <c r="L154" s="75"/>
      <c r="M154" s="40"/>
      <c r="N154" s="40"/>
      <c r="O154" s="164"/>
      <c r="P154" s="40"/>
      <c r="Q154" s="796">
        <f>IF(Q153="",0,IF(Q153=1,Q147,IF(Q153=2,SUM(Q147:R148),SUM(Q147:R149))))</f>
        <v>0</v>
      </c>
      <c r="R154" s="796"/>
      <c r="Y154" s="20"/>
    </row>
    <row r="155" spans="2:38" x14ac:dyDescent="0.3">
      <c r="B155" s="19"/>
      <c r="C155" s="75" t="s">
        <v>717</v>
      </c>
      <c r="D155" s="75"/>
      <c r="E155" s="75"/>
      <c r="F155" s="75"/>
      <c r="G155" s="75"/>
      <c r="H155" s="75"/>
      <c r="I155" s="75"/>
      <c r="J155" s="75"/>
      <c r="K155" s="75"/>
      <c r="L155" s="75"/>
      <c r="M155" s="40"/>
      <c r="N155" s="40"/>
      <c r="O155" s="164"/>
      <c r="P155" s="40"/>
      <c r="Q155" s="898">
        <f>IF(Q153="",0,IF(AND(Surfaces!O198=0,Surfaces!P198=0,Surfaces!Q198=0),0,IF(Q153=1,S147,IF(Q153=2,SUM(S147:T148),SUM(S147:T149)))))</f>
        <v>0</v>
      </c>
      <c r="R155" s="899"/>
      <c r="Y155" s="20"/>
    </row>
    <row r="156" spans="2:38" x14ac:dyDescent="0.3">
      <c r="B156" s="19"/>
      <c r="C156" s="75" t="s">
        <v>718</v>
      </c>
      <c r="D156" s="75"/>
      <c r="E156" s="75"/>
      <c r="F156" s="75"/>
      <c r="G156" s="75"/>
      <c r="H156" s="75"/>
      <c r="I156" s="75"/>
      <c r="J156" s="75"/>
      <c r="K156" s="75"/>
      <c r="L156" s="75"/>
      <c r="M156" s="40"/>
      <c r="N156" s="40"/>
      <c r="O156" s="164"/>
      <c r="P156" s="40"/>
      <c r="Q156" s="898">
        <f>IF(Q153="",0,IF(AND(Surfaces!O198=0,Surfaces!P198=0,Surfaces!Q198=0),0,IF(Q153=1,U147,IF(Q153=2,SUM(U147:V148),SUM(U147:V149)))))</f>
        <v>0</v>
      </c>
      <c r="R156" s="899"/>
      <c r="Y156" s="20"/>
    </row>
    <row r="157" spans="2:38" x14ac:dyDescent="0.3">
      <c r="B157" s="19"/>
      <c r="C157" s="75" t="s">
        <v>715</v>
      </c>
      <c r="D157" s="75"/>
      <c r="E157" s="75"/>
      <c r="F157" s="75"/>
      <c r="G157" s="75"/>
      <c r="H157" s="75"/>
      <c r="I157" s="75"/>
      <c r="J157" s="75"/>
      <c r="K157" s="75"/>
      <c r="L157" s="75"/>
      <c r="M157" s="40"/>
      <c r="N157" s="40"/>
      <c r="O157" s="40"/>
      <c r="P157" s="40"/>
      <c r="Q157" s="40"/>
      <c r="R157" s="45"/>
      <c r="S157" s="774">
        <f>IF(COUNTA(Q147:R149)&gt;=1,IF(UTILISATION_CMR1="Oui",0,AL151),0)</f>
        <v>0</v>
      </c>
      <c r="T157" s="775"/>
      <c r="Y157" s="20"/>
    </row>
    <row r="158" spans="2:38" x14ac:dyDescent="0.3">
      <c r="B158" s="19"/>
      <c r="C158" s="75" t="s">
        <v>2374</v>
      </c>
      <c r="D158" s="75"/>
      <c r="E158" s="75"/>
      <c r="F158" s="75"/>
      <c r="G158" s="75"/>
      <c r="H158" s="75"/>
      <c r="I158" s="75"/>
      <c r="J158" s="75"/>
      <c r="K158" s="75"/>
      <c r="L158" s="75"/>
      <c r="M158" s="40"/>
      <c r="N158" s="40"/>
      <c r="O158" s="40"/>
      <c r="P158" s="40"/>
      <c r="Q158" s="895">
        <f>Surfaces!O198</f>
        <v>0</v>
      </c>
      <c r="R158" s="896"/>
      <c r="W158" s="301"/>
      <c r="X158" s="301"/>
      <c r="Y158" s="20"/>
    </row>
    <row r="159" spans="2:38" x14ac:dyDescent="0.3">
      <c r="B159" s="19"/>
      <c r="C159" s="75" t="s">
        <v>294</v>
      </c>
      <c r="D159" s="75"/>
      <c r="E159" s="75"/>
      <c r="F159" s="75"/>
      <c r="G159" s="75"/>
      <c r="H159" s="75"/>
      <c r="I159" s="75"/>
      <c r="J159" s="75"/>
      <c r="K159" s="75"/>
      <c r="L159" s="75"/>
      <c r="M159" s="40"/>
      <c r="N159" s="40"/>
      <c r="O159" s="40"/>
      <c r="P159" s="40"/>
      <c r="Q159" s="895">
        <f>cSAU</f>
        <v>0</v>
      </c>
      <c r="R159" s="896"/>
      <c r="S159" s="678" t="s">
        <v>3204</v>
      </c>
      <c r="T159" s="678"/>
      <c r="V159" s="680" t="s">
        <v>3205</v>
      </c>
      <c r="W159" s="680"/>
      <c r="X159" s="680"/>
      <c r="Y159" s="681"/>
    </row>
    <row r="160" spans="2:38" x14ac:dyDescent="0.3">
      <c r="B160" s="19"/>
      <c r="C160" s="75" t="s">
        <v>716</v>
      </c>
      <c r="D160" s="75"/>
      <c r="E160" s="75"/>
      <c r="F160" s="75"/>
      <c r="G160" s="75"/>
      <c r="H160" s="75"/>
      <c r="I160" s="75"/>
      <c r="J160" s="75"/>
      <c r="K160" s="75"/>
      <c r="L160" s="75"/>
      <c r="M160" s="40"/>
      <c r="N160" s="40"/>
      <c r="O160" s="40"/>
      <c r="P160" s="40"/>
      <c r="Q160" s="40"/>
      <c r="R160" s="45"/>
      <c r="S160" s="846">
        <f>IF(ISBLANK(L11),0,IFERROR(S157*(Q158/Q159),0))</f>
        <v>0</v>
      </c>
      <c r="T160" s="847"/>
      <c r="W160" s="694">
        <f>IF(cSAU = 0,5,5*(Q158/Q159))</f>
        <v>5</v>
      </c>
      <c r="X160" s="695"/>
      <c r="Y160" s="20"/>
    </row>
    <row r="161" spans="2:25" x14ac:dyDescent="0.3">
      <c r="B161" s="19"/>
      <c r="C161" s="65"/>
      <c r="Y161" s="20"/>
    </row>
    <row r="162" spans="2:25" x14ac:dyDescent="0.3">
      <c r="B162" s="19"/>
      <c r="C162" s="65"/>
      <c r="Y162" s="20"/>
    </row>
    <row r="163" spans="2:25" x14ac:dyDescent="0.3">
      <c r="B163" s="19"/>
      <c r="C163" s="70" t="s">
        <v>2472</v>
      </c>
      <c r="Y163" s="20"/>
    </row>
    <row r="164" spans="2:25" x14ac:dyDescent="0.3">
      <c r="B164" s="19"/>
      <c r="C164" s="652"/>
      <c r="D164" s="653"/>
      <c r="E164" s="653"/>
      <c r="F164" s="653"/>
      <c r="G164" s="653"/>
      <c r="H164" s="653"/>
      <c r="I164" s="653"/>
      <c r="J164" s="653"/>
      <c r="K164" s="653"/>
      <c r="L164" s="653"/>
      <c r="M164" s="653"/>
      <c r="N164" s="653"/>
      <c r="O164" s="653"/>
      <c r="P164" s="653"/>
      <c r="Q164" s="653"/>
      <c r="R164" s="653"/>
      <c r="S164" s="653"/>
      <c r="T164" s="653"/>
      <c r="U164" s="653"/>
      <c r="V164" s="653"/>
      <c r="W164" s="654"/>
      <c r="Y164" s="20"/>
    </row>
    <row r="165" spans="2:25" x14ac:dyDescent="0.3">
      <c r="B165" s="19"/>
      <c r="C165" s="655"/>
      <c r="D165" s="656"/>
      <c r="E165" s="656"/>
      <c r="F165" s="656"/>
      <c r="G165" s="656"/>
      <c r="H165" s="656"/>
      <c r="I165" s="656"/>
      <c r="J165" s="656"/>
      <c r="K165" s="656"/>
      <c r="L165" s="656"/>
      <c r="M165" s="656"/>
      <c r="N165" s="656"/>
      <c r="O165" s="656"/>
      <c r="P165" s="656"/>
      <c r="Q165" s="656"/>
      <c r="R165" s="656"/>
      <c r="S165" s="656"/>
      <c r="T165" s="656"/>
      <c r="U165" s="656"/>
      <c r="V165" s="656"/>
      <c r="W165" s="657"/>
      <c r="Y165" s="20"/>
    </row>
    <row r="166" spans="2:25" x14ac:dyDescent="0.3">
      <c r="B166" s="19"/>
      <c r="C166" s="655"/>
      <c r="D166" s="656"/>
      <c r="E166" s="656"/>
      <c r="F166" s="656"/>
      <c r="G166" s="656"/>
      <c r="H166" s="656"/>
      <c r="I166" s="656"/>
      <c r="J166" s="656"/>
      <c r="K166" s="656"/>
      <c r="L166" s="656"/>
      <c r="M166" s="656"/>
      <c r="N166" s="656"/>
      <c r="O166" s="656"/>
      <c r="P166" s="656"/>
      <c r="Q166" s="656"/>
      <c r="R166" s="656"/>
      <c r="S166" s="656"/>
      <c r="T166" s="656"/>
      <c r="U166" s="656"/>
      <c r="V166" s="656"/>
      <c r="W166" s="657"/>
      <c r="Y166" s="20"/>
    </row>
    <row r="167" spans="2:25" x14ac:dyDescent="0.3">
      <c r="B167" s="19"/>
      <c r="C167" s="655"/>
      <c r="D167" s="656"/>
      <c r="E167" s="656"/>
      <c r="F167" s="656"/>
      <c r="G167" s="656"/>
      <c r="H167" s="656"/>
      <c r="I167" s="656"/>
      <c r="J167" s="656"/>
      <c r="K167" s="656"/>
      <c r="L167" s="656"/>
      <c r="M167" s="656"/>
      <c r="N167" s="656"/>
      <c r="O167" s="656"/>
      <c r="P167" s="656"/>
      <c r="Q167" s="656"/>
      <c r="R167" s="656"/>
      <c r="S167" s="656"/>
      <c r="T167" s="656"/>
      <c r="U167" s="656"/>
      <c r="V167" s="656"/>
      <c r="W167" s="657"/>
      <c r="Y167" s="20"/>
    </row>
    <row r="168" spans="2:25" x14ac:dyDescent="0.3">
      <c r="B168" s="19"/>
      <c r="C168" s="658"/>
      <c r="D168" s="659"/>
      <c r="E168" s="659"/>
      <c r="F168" s="659"/>
      <c r="G168" s="659"/>
      <c r="H168" s="659"/>
      <c r="I168" s="659"/>
      <c r="J168" s="659"/>
      <c r="K168" s="659"/>
      <c r="L168" s="659"/>
      <c r="M168" s="659"/>
      <c r="N168" s="659"/>
      <c r="O168" s="659"/>
      <c r="P168" s="659"/>
      <c r="Q168" s="659"/>
      <c r="R168" s="659"/>
      <c r="S168" s="659"/>
      <c r="T168" s="659"/>
      <c r="U168" s="659"/>
      <c r="V168" s="659"/>
      <c r="W168" s="660"/>
      <c r="Y168" s="20"/>
    </row>
    <row r="169" spans="2:25" ht="15" thickBot="1" x14ac:dyDescent="0.35">
      <c r="B169" s="22"/>
      <c r="C169" s="23"/>
      <c r="D169" s="23"/>
      <c r="E169" s="23"/>
      <c r="F169" s="23"/>
      <c r="G169" s="23"/>
      <c r="H169" s="23"/>
      <c r="I169" s="23"/>
      <c r="J169" s="23"/>
      <c r="K169" s="23"/>
      <c r="L169" s="23"/>
      <c r="M169" s="23"/>
      <c r="N169" s="23"/>
      <c r="O169" s="23"/>
      <c r="P169" s="23"/>
      <c r="Q169" s="23"/>
      <c r="R169" s="23"/>
      <c r="S169" s="23"/>
      <c r="T169" s="23"/>
      <c r="U169" s="23"/>
      <c r="V169" s="23"/>
      <c r="W169" s="23"/>
      <c r="X169" s="23"/>
      <c r="Y169" s="24"/>
    </row>
    <row r="172" spans="2:25" ht="15" thickBot="1" x14ac:dyDescent="0.35"/>
    <row r="173" spans="2:25" x14ac:dyDescent="0.3">
      <c r="B173" s="16"/>
      <c r="C173" s="17"/>
      <c r="D173" s="17"/>
      <c r="E173" s="17"/>
      <c r="F173" s="17"/>
      <c r="G173" s="17"/>
      <c r="H173" s="17"/>
      <c r="I173" s="17"/>
      <c r="J173" s="17"/>
      <c r="K173" s="17"/>
      <c r="L173" s="17"/>
      <c r="M173" s="17"/>
      <c r="N173" s="17"/>
      <c r="O173" s="17"/>
      <c r="P173" s="17"/>
      <c r="Q173" s="17"/>
      <c r="R173" s="17"/>
      <c r="S173" s="17"/>
      <c r="T173" s="17"/>
      <c r="U173" s="17"/>
      <c r="V173" s="17"/>
      <c r="W173" s="17"/>
      <c r="X173" s="17"/>
      <c r="Y173" s="18"/>
    </row>
    <row r="174" spans="2:25" x14ac:dyDescent="0.3">
      <c r="B174" s="19"/>
      <c r="Y174" s="20"/>
    </row>
    <row r="175" spans="2:25" x14ac:dyDescent="0.3">
      <c r="B175" s="19"/>
      <c r="C175" s="108" t="s">
        <v>450</v>
      </c>
      <c r="D175" s="47"/>
      <c r="E175" s="47"/>
      <c r="F175" s="47"/>
      <c r="G175" s="47"/>
      <c r="H175" s="47"/>
      <c r="I175" s="47"/>
      <c r="J175" s="47"/>
      <c r="K175" s="47"/>
      <c r="L175" s="47"/>
      <c r="M175" s="47"/>
      <c r="N175" s="47"/>
      <c r="O175" s="47"/>
      <c r="P175" s="47"/>
      <c r="Q175" s="43"/>
      <c r="R175" s="747"/>
      <c r="S175" s="748"/>
      <c r="Y175" s="20"/>
    </row>
    <row r="176" spans="2:25" x14ac:dyDescent="0.3">
      <c r="B176" s="19"/>
      <c r="Y176" s="20"/>
    </row>
    <row r="177" spans="2:25" x14ac:dyDescent="0.3">
      <c r="B177" s="19"/>
      <c r="C177" s="108" t="s">
        <v>2306</v>
      </c>
      <c r="D177" s="47"/>
      <c r="E177" s="47"/>
      <c r="F177" s="47"/>
      <c r="G177" s="47"/>
      <c r="H177" s="47"/>
      <c r="I177" s="47"/>
      <c r="J177" s="47"/>
      <c r="K177" s="47"/>
      <c r="L177" s="47"/>
      <c r="M177" s="47"/>
      <c r="N177" s="47"/>
      <c r="O177" s="47"/>
      <c r="P177" s="47"/>
      <c r="Q177" s="43"/>
      <c r="R177" s="747"/>
      <c r="S177" s="748"/>
      <c r="Y177" s="20"/>
    </row>
    <row r="178" spans="2:25" x14ac:dyDescent="0.3">
      <c r="B178" s="19"/>
      <c r="Y178" s="20"/>
    </row>
    <row r="179" spans="2:25" ht="15" customHeight="1" x14ac:dyDescent="0.3">
      <c r="B179" s="19"/>
      <c r="C179" s="650" t="s">
        <v>2489</v>
      </c>
      <c r="D179" s="650"/>
      <c r="E179" s="650"/>
      <c r="F179" s="650"/>
      <c r="G179" s="650"/>
      <c r="H179" s="650"/>
      <c r="I179" s="650"/>
      <c r="J179" s="650"/>
      <c r="K179" s="650"/>
      <c r="L179" s="650"/>
      <c r="M179" s="650"/>
      <c r="N179" s="650"/>
      <c r="O179" s="650"/>
      <c r="P179" s="650"/>
      <c r="Q179" s="650"/>
      <c r="U179" s="337"/>
      <c r="V179" s="337"/>
      <c r="W179" s="337"/>
      <c r="X179" s="337"/>
      <c r="Y179" s="20"/>
    </row>
    <row r="180" spans="2:25" x14ac:dyDescent="0.3">
      <c r="B180" s="19"/>
      <c r="C180" s="650"/>
      <c r="D180" s="650"/>
      <c r="E180" s="650"/>
      <c r="F180" s="650"/>
      <c r="G180" s="650"/>
      <c r="H180" s="650"/>
      <c r="I180" s="650"/>
      <c r="J180" s="650"/>
      <c r="K180" s="650"/>
      <c r="L180" s="650"/>
      <c r="M180" s="650"/>
      <c r="N180" s="650"/>
      <c r="O180" s="650"/>
      <c r="P180" s="650"/>
      <c r="Q180" s="650"/>
      <c r="U180" s="337"/>
      <c r="V180" s="337"/>
      <c r="W180" s="337"/>
      <c r="X180" s="337"/>
      <c r="Y180" s="20"/>
    </row>
    <row r="181" spans="2:25" x14ac:dyDescent="0.3">
      <c r="B181" s="19"/>
      <c r="D181" s="104" t="s">
        <v>582</v>
      </c>
      <c r="E181" s="47"/>
      <c r="F181" s="47"/>
      <c r="G181" s="47"/>
      <c r="H181" s="47"/>
      <c r="I181" s="47"/>
      <c r="J181" s="47"/>
      <c r="K181" s="47"/>
      <c r="L181" s="47"/>
      <c r="M181" s="47"/>
      <c r="N181" s="47"/>
      <c r="O181" s="47"/>
      <c r="P181" s="47"/>
      <c r="Q181" s="43"/>
      <c r="R181" s="747"/>
      <c r="S181" s="748"/>
      <c r="U181" s="337"/>
      <c r="V181" s="337"/>
      <c r="W181" s="337"/>
      <c r="X181" s="337"/>
      <c r="Y181" s="20"/>
    </row>
    <row r="182" spans="2:25" x14ac:dyDescent="0.3">
      <c r="B182" s="19"/>
      <c r="D182" s="136"/>
      <c r="E182" s="47" t="s">
        <v>583</v>
      </c>
      <c r="F182" s="47"/>
      <c r="G182" s="47"/>
      <c r="H182" s="47"/>
      <c r="I182" s="47"/>
      <c r="J182" s="47"/>
      <c r="K182" s="47"/>
      <c r="L182" s="47"/>
      <c r="M182" s="47"/>
      <c r="N182" s="47"/>
      <c r="O182" s="47"/>
      <c r="P182" s="47"/>
      <c r="Q182" s="43"/>
      <c r="R182" s="833"/>
      <c r="S182" s="834"/>
      <c r="T182" s="141" t="str">
        <f>IF(R182&gt;R183,"Attention : surface saisie &gt; surface totale en cultures annuelles","")</f>
        <v/>
      </c>
      <c r="U182" s="337"/>
      <c r="V182" s="337"/>
      <c r="W182" s="337"/>
      <c r="X182" s="337"/>
      <c r="Y182" s="20"/>
    </row>
    <row r="183" spans="2:25" x14ac:dyDescent="0.3">
      <c r="B183" s="19"/>
      <c r="E183" s="47" t="s">
        <v>409</v>
      </c>
      <c r="F183" s="47"/>
      <c r="G183" s="47"/>
      <c r="H183" s="47"/>
      <c r="I183" s="47"/>
      <c r="J183" s="47"/>
      <c r="K183" s="47"/>
      <c r="L183" s="47"/>
      <c r="M183" s="47"/>
      <c r="N183" s="47"/>
      <c r="O183" s="47"/>
      <c r="P183" s="47"/>
      <c r="Q183" s="43"/>
      <c r="R183" s="840">
        <f>SUM(Surfaces!O133:O137)+Surfaces!O101+SUM(Surfaces!O87:O90)+SUM(Surfaces!O77:O83)+SUM(Surfaces!O94:O97)+SUM(Surfaces!O109:O111)+SUM(Surfaces!O128:O129)</f>
        <v>0</v>
      </c>
      <c r="S183" s="841"/>
      <c r="U183" s="337"/>
      <c r="V183" s="337"/>
      <c r="W183" s="337"/>
      <c r="X183" s="337"/>
      <c r="Y183" s="20"/>
    </row>
    <row r="184" spans="2:25" x14ac:dyDescent="0.3">
      <c r="B184" s="19"/>
      <c r="E184" s="47" t="s">
        <v>410</v>
      </c>
      <c r="F184" s="47"/>
      <c r="G184" s="47"/>
      <c r="H184" s="47"/>
      <c r="I184" s="47"/>
      <c r="J184" s="47"/>
      <c r="K184" s="47"/>
      <c r="L184" s="47"/>
      <c r="M184" s="47"/>
      <c r="N184" s="47"/>
      <c r="O184" s="47"/>
      <c r="P184" s="47"/>
      <c r="Q184" s="43"/>
      <c r="R184" s="837">
        <f>IFERROR(R182/R183,0)</f>
        <v>0</v>
      </c>
      <c r="S184" s="838"/>
      <c r="U184" s="337"/>
      <c r="V184" s="337"/>
      <c r="W184" s="337"/>
      <c r="X184" s="337"/>
      <c r="Y184" s="20"/>
    </row>
    <row r="185" spans="2:25" x14ac:dyDescent="0.3">
      <c r="B185" s="19"/>
      <c r="E185" s="136"/>
      <c r="F185" s="136"/>
      <c r="G185" s="136"/>
      <c r="H185" s="136"/>
      <c r="I185" s="136"/>
      <c r="J185" s="136"/>
      <c r="K185" s="136"/>
      <c r="L185" s="136"/>
      <c r="M185" s="136"/>
      <c r="N185" s="136"/>
      <c r="O185" s="136"/>
      <c r="P185" s="136"/>
      <c r="Q185" s="136"/>
      <c r="R185" s="114"/>
      <c r="S185" s="114"/>
      <c r="U185" s="337"/>
      <c r="V185" s="337"/>
      <c r="W185" s="337"/>
      <c r="X185" s="337"/>
      <c r="Y185" s="20"/>
    </row>
    <row r="186" spans="2:25" x14ac:dyDescent="0.3">
      <c r="B186" s="19"/>
      <c r="D186" s="104" t="s">
        <v>584</v>
      </c>
      <c r="E186" s="47"/>
      <c r="F186" s="47"/>
      <c r="G186" s="47"/>
      <c r="H186" s="47"/>
      <c r="I186" s="47"/>
      <c r="J186" s="47"/>
      <c r="K186" s="47"/>
      <c r="L186" s="47"/>
      <c r="M186" s="47"/>
      <c r="N186" s="47"/>
      <c r="O186" s="47"/>
      <c r="P186" s="47"/>
      <c r="Q186" s="43"/>
      <c r="R186" s="747"/>
      <c r="S186" s="748"/>
      <c r="U186" s="337"/>
      <c r="V186" s="337"/>
      <c r="W186" s="337"/>
      <c r="X186" s="337"/>
      <c r="Y186" s="20"/>
    </row>
    <row r="187" spans="2:25" x14ac:dyDescent="0.3">
      <c r="B187" s="19"/>
      <c r="E187" s="47" t="s">
        <v>585</v>
      </c>
      <c r="F187" s="47"/>
      <c r="G187" s="47"/>
      <c r="H187" s="47"/>
      <c r="I187" s="47"/>
      <c r="J187" s="47"/>
      <c r="K187" s="47"/>
      <c r="L187" s="47"/>
      <c r="M187" s="47"/>
      <c r="N187" s="47"/>
      <c r="O187" s="47"/>
      <c r="P187" s="47"/>
      <c r="Q187" s="43"/>
      <c r="R187" s="833"/>
      <c r="S187" s="834"/>
      <c r="T187" s="141" t="str">
        <f>IF(R187&gt;R188,"Attention : surface saisie &gt; surface totale en cultures pérennes","")</f>
        <v/>
      </c>
      <c r="U187" s="337"/>
      <c r="V187" s="337"/>
      <c r="W187" s="337"/>
      <c r="X187" s="337"/>
      <c r="Y187" s="20"/>
    </row>
    <row r="188" spans="2:25" x14ac:dyDescent="0.3">
      <c r="B188" s="19"/>
      <c r="E188" s="47" t="s">
        <v>411</v>
      </c>
      <c r="F188" s="47"/>
      <c r="G188" s="47"/>
      <c r="H188" s="47"/>
      <c r="I188" s="47"/>
      <c r="J188" s="47"/>
      <c r="K188" s="47"/>
      <c r="L188" s="47"/>
      <c r="M188" s="47"/>
      <c r="N188" s="47"/>
      <c r="O188" s="47"/>
      <c r="P188" s="47"/>
      <c r="Q188" s="43"/>
      <c r="R188" s="840">
        <f>Surfaces!O142+SUM(Surfaces!O145:O159)+Surfaces!O162</f>
        <v>0</v>
      </c>
      <c r="S188" s="841"/>
      <c r="U188" s="337"/>
      <c r="V188" s="337"/>
      <c r="W188" s="337"/>
      <c r="X188" s="337"/>
      <c r="Y188" s="20"/>
    </row>
    <row r="189" spans="2:25" x14ac:dyDescent="0.3">
      <c r="B189" s="19"/>
      <c r="E189" s="47" t="s">
        <v>410</v>
      </c>
      <c r="F189" s="47"/>
      <c r="G189" s="47"/>
      <c r="H189" s="47"/>
      <c r="I189" s="47"/>
      <c r="J189" s="47"/>
      <c r="K189" s="47"/>
      <c r="L189" s="47"/>
      <c r="M189" s="47"/>
      <c r="N189" s="47"/>
      <c r="O189" s="47"/>
      <c r="P189" s="47"/>
      <c r="Q189" s="43"/>
      <c r="R189" s="837">
        <f>IFERROR(R187/R188,0)</f>
        <v>0</v>
      </c>
      <c r="S189" s="838"/>
      <c r="U189" s="337"/>
      <c r="V189" s="337"/>
      <c r="W189" s="337"/>
      <c r="X189" s="337"/>
      <c r="Y189" s="20"/>
    </row>
    <row r="190" spans="2:25" x14ac:dyDescent="0.3">
      <c r="B190" s="19"/>
      <c r="U190" s="337"/>
      <c r="V190" s="337"/>
      <c r="W190" s="337"/>
      <c r="X190" s="337"/>
      <c r="Y190" s="20"/>
    </row>
    <row r="191" spans="2:25" x14ac:dyDescent="0.3">
      <c r="B191" s="19"/>
      <c r="C191" s="776" t="s">
        <v>2375</v>
      </c>
      <c r="D191" s="776"/>
      <c r="E191" s="776"/>
      <c r="F191" s="776"/>
      <c r="G191" s="776"/>
      <c r="H191" s="776"/>
      <c r="I191" s="776"/>
      <c r="J191" s="776"/>
      <c r="K191" s="776"/>
      <c r="L191" s="776"/>
      <c r="M191" s="776"/>
      <c r="N191" s="776"/>
      <c r="O191" s="776"/>
      <c r="P191" s="776"/>
      <c r="Q191" s="776"/>
      <c r="R191" s="776"/>
      <c r="S191" s="776"/>
      <c r="T191" s="776"/>
      <c r="U191" s="776"/>
      <c r="V191" s="776"/>
      <c r="W191" s="776"/>
      <c r="X191" s="776"/>
      <c r="Y191" s="20"/>
    </row>
    <row r="192" spans="2:25" x14ac:dyDescent="0.3">
      <c r="B192" s="19"/>
      <c r="C192" s="776"/>
      <c r="D192" s="776"/>
      <c r="E192" s="776"/>
      <c r="F192" s="776"/>
      <c r="G192" s="776"/>
      <c r="H192" s="776"/>
      <c r="I192" s="776"/>
      <c r="J192" s="776"/>
      <c r="K192" s="776"/>
      <c r="L192" s="776"/>
      <c r="M192" s="776"/>
      <c r="N192" s="776"/>
      <c r="O192" s="776"/>
      <c r="P192" s="776"/>
      <c r="Q192" s="776"/>
      <c r="R192" s="776"/>
      <c r="S192" s="776"/>
      <c r="T192" s="776"/>
      <c r="U192" s="776"/>
      <c r="V192" s="776"/>
      <c r="W192" s="776"/>
      <c r="X192" s="776"/>
      <c r="Y192" s="20"/>
    </row>
    <row r="193" spans="2:25" x14ac:dyDescent="0.3">
      <c r="B193" s="19"/>
      <c r="U193" s="337"/>
      <c r="V193" s="337"/>
      <c r="W193" s="337"/>
      <c r="X193" s="337"/>
      <c r="Y193" s="20"/>
    </row>
    <row r="194" spans="2:25" x14ac:dyDescent="0.3">
      <c r="B194" s="19"/>
      <c r="D194" t="s">
        <v>587</v>
      </c>
      <c r="R194" s="837">
        <f>IFERROR((IF(R181="Non",0,R182)+IF(R186="Non",0,R187))/Surfaces!O25,0)</f>
        <v>0</v>
      </c>
      <c r="S194" s="838"/>
      <c r="U194" s="337"/>
      <c r="V194" s="337"/>
      <c r="W194" s="337"/>
      <c r="X194" s="337"/>
      <c r="Y194" s="20"/>
    </row>
    <row r="195" spans="2:25" x14ac:dyDescent="0.3">
      <c r="B195" s="19"/>
      <c r="R195" s="137"/>
      <c r="S195" s="137"/>
      <c r="Y195" s="20"/>
    </row>
    <row r="196" spans="2:25" x14ac:dyDescent="0.3">
      <c r="B196" s="19"/>
      <c r="C196" s="42"/>
      <c r="R196" s="678" t="s">
        <v>3204</v>
      </c>
      <c r="S196" s="678"/>
      <c r="Y196" s="20"/>
    </row>
    <row r="197" spans="2:25" x14ac:dyDescent="0.3">
      <c r="B197" s="19"/>
      <c r="D197" s="75" t="s">
        <v>306</v>
      </c>
      <c r="E197" s="75"/>
      <c r="F197" s="75"/>
      <c r="G197" s="75"/>
      <c r="H197" s="40"/>
      <c r="I197" s="40"/>
      <c r="J197" s="40"/>
      <c r="K197" s="40"/>
      <c r="L197" s="40"/>
      <c r="M197" s="40"/>
      <c r="N197" s="40"/>
      <c r="O197" s="40"/>
      <c r="P197" s="40"/>
      <c r="Q197" s="45"/>
      <c r="R197" s="774">
        <f>IFERROR(IF(R175="Oui",1,0),0)</f>
        <v>0</v>
      </c>
      <c r="S197" s="775"/>
      <c r="Y197" s="20"/>
    </row>
    <row r="198" spans="2:25" x14ac:dyDescent="0.3">
      <c r="B198" s="19"/>
      <c r="D198" s="76" t="s">
        <v>307</v>
      </c>
      <c r="E198" s="76"/>
      <c r="F198" s="76"/>
      <c r="G198" s="76"/>
      <c r="H198" s="77"/>
      <c r="I198" s="77"/>
      <c r="J198" s="77"/>
      <c r="K198" s="77"/>
      <c r="L198" s="77"/>
      <c r="M198" s="77"/>
      <c r="N198" s="77"/>
      <c r="O198" s="77"/>
      <c r="P198" s="77"/>
      <c r="Q198" s="78"/>
      <c r="R198" s="774">
        <f>IFERROR(IF(R177="Oui",1,0),0)</f>
        <v>0</v>
      </c>
      <c r="S198" s="775"/>
      <c r="Y198" s="20"/>
    </row>
    <row r="199" spans="2:25" x14ac:dyDescent="0.3">
      <c r="B199" s="19"/>
      <c r="D199" s="76" t="s">
        <v>586</v>
      </c>
      <c r="E199" s="76"/>
      <c r="F199" s="76"/>
      <c r="G199" s="76"/>
      <c r="H199" s="77"/>
      <c r="I199" s="77"/>
      <c r="J199" s="77"/>
      <c r="K199" s="77"/>
      <c r="L199" s="77"/>
      <c r="M199" s="77"/>
      <c r="N199" s="77"/>
      <c r="O199" s="77"/>
      <c r="P199" s="77"/>
      <c r="Q199" s="78"/>
      <c r="R199" s="774">
        <f>IFERROR(IF(OR(R184&gt;=0.5,R189&gt;=0.75),2*R194,0),0)</f>
        <v>0</v>
      </c>
      <c r="S199" s="775"/>
      <c r="V199" s="680" t="s">
        <v>3205</v>
      </c>
      <c r="W199" s="680"/>
      <c r="X199" s="680"/>
      <c r="Y199" s="681"/>
    </row>
    <row r="200" spans="2:25" x14ac:dyDescent="0.3">
      <c r="B200" s="19"/>
      <c r="D200" s="76" t="s">
        <v>412</v>
      </c>
      <c r="E200" s="76"/>
      <c r="F200" s="76"/>
      <c r="G200" s="76"/>
      <c r="H200" s="77"/>
      <c r="I200" s="77"/>
      <c r="J200" s="77"/>
      <c r="K200" s="77"/>
      <c r="L200" s="77"/>
      <c r="M200" s="77"/>
      <c r="N200" s="77"/>
      <c r="O200" s="77"/>
      <c r="P200" s="77"/>
      <c r="Q200" s="78"/>
      <c r="R200" s="846">
        <f>IF(ISBLANK(L11),0,IF(UTILISATION_CMR1&lt;&gt;"Oui",MIN(SUM(R197:S199),3),0))</f>
        <v>0</v>
      </c>
      <c r="S200" s="847"/>
      <c r="W200" s="862">
        <v>3</v>
      </c>
      <c r="X200" s="863"/>
      <c r="Y200" s="20"/>
    </row>
    <row r="201" spans="2:25" x14ac:dyDescent="0.3">
      <c r="B201" s="19"/>
      <c r="D201" s="65"/>
      <c r="E201" s="65"/>
      <c r="F201" s="65"/>
      <c r="G201" s="65"/>
      <c r="R201" s="340"/>
      <c r="S201" s="340"/>
      <c r="W201" s="129"/>
      <c r="X201" s="129"/>
      <c r="Y201" s="20"/>
    </row>
    <row r="202" spans="2:25" x14ac:dyDescent="0.3">
      <c r="B202" s="19"/>
      <c r="D202" s="65"/>
      <c r="E202" s="65"/>
      <c r="F202" s="65"/>
      <c r="G202" s="65"/>
      <c r="R202" s="340"/>
      <c r="S202" s="340"/>
      <c r="W202" s="129"/>
      <c r="X202" s="129"/>
      <c r="Y202" s="20"/>
    </row>
    <row r="203" spans="2:25" x14ac:dyDescent="0.3">
      <c r="B203" s="19"/>
      <c r="D203" s="70" t="s">
        <v>2472</v>
      </c>
      <c r="Y203" s="20"/>
    </row>
    <row r="204" spans="2:25" x14ac:dyDescent="0.3">
      <c r="B204" s="19"/>
      <c r="D204" s="652"/>
      <c r="E204" s="653"/>
      <c r="F204" s="653"/>
      <c r="G204" s="653"/>
      <c r="H204" s="653"/>
      <c r="I204" s="653"/>
      <c r="J204" s="653"/>
      <c r="K204" s="653"/>
      <c r="L204" s="653"/>
      <c r="M204" s="653"/>
      <c r="N204" s="653"/>
      <c r="O204" s="653"/>
      <c r="P204" s="653"/>
      <c r="Q204" s="653"/>
      <c r="R204" s="653"/>
      <c r="S204" s="653"/>
      <c r="T204" s="653"/>
      <c r="U204" s="653"/>
      <c r="V204" s="653"/>
      <c r="W204" s="653"/>
      <c r="X204" s="654"/>
      <c r="Y204" s="20"/>
    </row>
    <row r="205" spans="2:25" x14ac:dyDescent="0.3">
      <c r="B205" s="19"/>
      <c r="D205" s="655"/>
      <c r="E205" s="656"/>
      <c r="F205" s="656"/>
      <c r="G205" s="656"/>
      <c r="H205" s="656"/>
      <c r="I205" s="656"/>
      <c r="J205" s="656"/>
      <c r="K205" s="656"/>
      <c r="L205" s="656"/>
      <c r="M205" s="656"/>
      <c r="N205" s="656"/>
      <c r="O205" s="656"/>
      <c r="P205" s="656"/>
      <c r="Q205" s="656"/>
      <c r="R205" s="656"/>
      <c r="S205" s="656"/>
      <c r="T205" s="656"/>
      <c r="U205" s="656"/>
      <c r="V205" s="656"/>
      <c r="W205" s="656"/>
      <c r="X205" s="657"/>
      <c r="Y205" s="20"/>
    </row>
    <row r="206" spans="2:25" x14ac:dyDescent="0.3">
      <c r="B206" s="19"/>
      <c r="D206" s="655"/>
      <c r="E206" s="656"/>
      <c r="F206" s="656"/>
      <c r="G206" s="656"/>
      <c r="H206" s="656"/>
      <c r="I206" s="656"/>
      <c r="J206" s="656"/>
      <c r="K206" s="656"/>
      <c r="L206" s="656"/>
      <c r="M206" s="656"/>
      <c r="N206" s="656"/>
      <c r="O206" s="656"/>
      <c r="P206" s="656"/>
      <c r="Q206" s="656"/>
      <c r="R206" s="656"/>
      <c r="S206" s="656"/>
      <c r="T206" s="656"/>
      <c r="U206" s="656"/>
      <c r="V206" s="656"/>
      <c r="W206" s="656"/>
      <c r="X206" s="657"/>
      <c r="Y206" s="20"/>
    </row>
    <row r="207" spans="2:25" x14ac:dyDescent="0.3">
      <c r="B207" s="19"/>
      <c r="D207" s="655"/>
      <c r="E207" s="656"/>
      <c r="F207" s="656"/>
      <c r="G207" s="656"/>
      <c r="H207" s="656"/>
      <c r="I207" s="656"/>
      <c r="J207" s="656"/>
      <c r="K207" s="656"/>
      <c r="L207" s="656"/>
      <c r="M207" s="656"/>
      <c r="N207" s="656"/>
      <c r="O207" s="656"/>
      <c r="P207" s="656"/>
      <c r="Q207" s="656"/>
      <c r="R207" s="656"/>
      <c r="S207" s="656"/>
      <c r="T207" s="656"/>
      <c r="U207" s="656"/>
      <c r="V207" s="656"/>
      <c r="W207" s="656"/>
      <c r="X207" s="657"/>
      <c r="Y207" s="20"/>
    </row>
    <row r="208" spans="2:25" x14ac:dyDescent="0.3">
      <c r="B208" s="19"/>
      <c r="D208" s="658"/>
      <c r="E208" s="659"/>
      <c r="F208" s="659"/>
      <c r="G208" s="659"/>
      <c r="H208" s="659"/>
      <c r="I208" s="659"/>
      <c r="J208" s="659"/>
      <c r="K208" s="659"/>
      <c r="L208" s="659"/>
      <c r="M208" s="659"/>
      <c r="N208" s="659"/>
      <c r="O208" s="659"/>
      <c r="P208" s="659"/>
      <c r="Q208" s="659"/>
      <c r="R208" s="659"/>
      <c r="S208" s="659"/>
      <c r="T208" s="659"/>
      <c r="U208" s="659"/>
      <c r="V208" s="659"/>
      <c r="W208" s="659"/>
      <c r="X208" s="660"/>
      <c r="Y208" s="20"/>
    </row>
    <row r="209" spans="2:25" x14ac:dyDescent="0.3">
      <c r="B209" s="19"/>
      <c r="D209" s="65"/>
      <c r="E209" s="65"/>
      <c r="F209" s="65"/>
      <c r="G209" s="65"/>
      <c r="R209" s="340"/>
      <c r="S209" s="340"/>
      <c r="W209" s="129"/>
      <c r="X209" s="129"/>
      <c r="Y209" s="20"/>
    </row>
    <row r="210" spans="2:25" ht="15" thickBot="1" x14ac:dyDescent="0.35">
      <c r="B210" s="22"/>
      <c r="C210" s="23"/>
      <c r="D210" s="23"/>
      <c r="E210" s="23"/>
      <c r="F210" s="23"/>
      <c r="G210" s="23"/>
      <c r="H210" s="23"/>
      <c r="I210" s="23"/>
      <c r="J210" s="23"/>
      <c r="K210" s="23"/>
      <c r="L210" s="23"/>
      <c r="M210" s="23"/>
      <c r="N210" s="23"/>
      <c r="O210" s="23"/>
      <c r="P210" s="23"/>
      <c r="Q210" s="23"/>
      <c r="R210" s="23"/>
      <c r="S210" s="23"/>
      <c r="T210" s="23"/>
      <c r="U210" s="23"/>
      <c r="V210" s="23"/>
      <c r="W210" s="23"/>
      <c r="X210" s="23"/>
      <c r="Y210" s="24"/>
    </row>
    <row r="213" spans="2:25" ht="15" thickBot="1" x14ac:dyDescent="0.35"/>
    <row r="214" spans="2:25" x14ac:dyDescent="0.3">
      <c r="B214" s="16"/>
      <c r="C214" s="17"/>
      <c r="D214" s="17"/>
      <c r="E214" s="17"/>
      <c r="F214" s="17"/>
      <c r="G214" s="17"/>
      <c r="H214" s="17"/>
      <c r="I214" s="17"/>
      <c r="J214" s="17"/>
      <c r="K214" s="17"/>
      <c r="L214" s="17"/>
      <c r="M214" s="17"/>
      <c r="N214" s="17"/>
      <c r="O214" s="17"/>
      <c r="P214" s="17"/>
      <c r="Q214" s="17"/>
      <c r="R214" s="17"/>
      <c r="S214" s="17"/>
      <c r="T214" s="17"/>
      <c r="U214" s="17"/>
      <c r="V214" s="17"/>
      <c r="W214" s="17"/>
      <c r="X214" s="17"/>
      <c r="Y214" s="18"/>
    </row>
    <row r="215" spans="2:25" x14ac:dyDescent="0.3">
      <c r="B215" s="19"/>
      <c r="Y215" s="20"/>
    </row>
    <row r="216" spans="2:25" x14ac:dyDescent="0.3">
      <c r="B216" s="19"/>
      <c r="C216" s="65" t="s">
        <v>3209</v>
      </c>
      <c r="Y216" s="20"/>
    </row>
    <row r="217" spans="2:25" x14ac:dyDescent="0.3">
      <c r="B217" s="19"/>
      <c r="C217" s="141" t="s">
        <v>308</v>
      </c>
      <c r="D217" s="141"/>
      <c r="E217" s="141"/>
      <c r="F217" s="141"/>
      <c r="G217" s="141"/>
      <c r="H217" s="141"/>
      <c r="I217" s="141"/>
      <c r="J217" s="141"/>
      <c r="K217" s="141"/>
      <c r="L217" s="141"/>
      <c r="M217" s="141"/>
      <c r="N217" s="141"/>
      <c r="O217" s="141"/>
      <c r="P217" s="141"/>
      <c r="Q217" s="141"/>
      <c r="R217" s="141"/>
      <c r="S217" s="141"/>
      <c r="T217" s="141"/>
      <c r="U217" s="141"/>
      <c r="Y217" s="20"/>
    </row>
    <row r="218" spans="2:25" x14ac:dyDescent="0.3">
      <c r="B218" s="19"/>
      <c r="C218" s="141"/>
      <c r="D218" s="141" t="s">
        <v>309</v>
      </c>
      <c r="E218" s="141"/>
      <c r="F218" s="141"/>
      <c r="G218" s="141"/>
      <c r="H218" s="141"/>
      <c r="I218" s="141"/>
      <c r="J218" s="141"/>
      <c r="K218" s="141"/>
      <c r="L218" s="141"/>
      <c r="M218" s="141"/>
      <c r="N218" s="141"/>
      <c r="O218" s="141"/>
      <c r="P218" s="141"/>
      <c r="Q218" s="141"/>
      <c r="R218" s="141"/>
      <c r="S218" s="141"/>
      <c r="T218" s="141"/>
      <c r="U218" s="141"/>
      <c r="Y218" s="20"/>
    </row>
    <row r="219" spans="2:25" x14ac:dyDescent="0.3">
      <c r="B219" s="19"/>
      <c r="C219" s="141"/>
      <c r="D219" s="21" t="s">
        <v>588</v>
      </c>
      <c r="E219" s="141"/>
      <c r="F219" s="141"/>
      <c r="G219" s="141"/>
      <c r="H219" s="141"/>
      <c r="I219" s="141"/>
      <c r="J219" s="141"/>
      <c r="K219" s="141"/>
      <c r="L219" s="141"/>
      <c r="M219" s="141"/>
      <c r="N219" s="141"/>
      <c r="O219" s="141"/>
      <c r="P219" s="141"/>
      <c r="Q219" s="141"/>
      <c r="R219" s="141"/>
      <c r="S219" s="141"/>
      <c r="T219" s="141"/>
      <c r="U219" s="141"/>
      <c r="Y219" s="20"/>
    </row>
    <row r="220" spans="2:25" x14ac:dyDescent="0.3">
      <c r="B220" s="19"/>
      <c r="C220" s="141" t="s">
        <v>719</v>
      </c>
      <c r="D220" s="141"/>
      <c r="E220" s="141"/>
      <c r="F220" s="141"/>
      <c r="G220" s="141"/>
      <c r="H220" s="141"/>
      <c r="I220" s="141"/>
      <c r="J220" s="141"/>
      <c r="K220" s="141"/>
      <c r="L220" s="141"/>
      <c r="M220" s="141"/>
      <c r="N220" s="141"/>
      <c r="O220" s="141"/>
      <c r="P220" s="141"/>
      <c r="Q220" s="141"/>
      <c r="R220" s="141"/>
      <c r="S220" s="141"/>
      <c r="T220" s="141"/>
      <c r="U220" s="141"/>
      <c r="Y220" s="20"/>
    </row>
    <row r="221" spans="2:25" x14ac:dyDescent="0.3">
      <c r="B221" s="19"/>
      <c r="C221" s="141" t="s">
        <v>720</v>
      </c>
      <c r="D221" s="141"/>
      <c r="E221" s="141"/>
      <c r="F221" s="141"/>
      <c r="G221" s="141"/>
      <c r="H221" s="141"/>
      <c r="I221" s="141"/>
      <c r="J221" s="141"/>
      <c r="K221" s="141"/>
      <c r="L221" s="141"/>
      <c r="M221" s="141"/>
      <c r="N221" s="141"/>
      <c r="O221" s="141"/>
      <c r="P221" s="141"/>
      <c r="Q221" s="141"/>
      <c r="R221" s="141"/>
      <c r="S221" s="141"/>
      <c r="T221" s="141"/>
      <c r="U221" s="141"/>
      <c r="Y221" s="20"/>
    </row>
    <row r="222" spans="2:25" x14ac:dyDescent="0.3">
      <c r="B222" s="19"/>
      <c r="Y222" s="20"/>
    </row>
    <row r="223" spans="2:25" x14ac:dyDescent="0.3">
      <c r="B223" s="19"/>
      <c r="C223" s="42" t="s">
        <v>2520</v>
      </c>
      <c r="Y223" s="20"/>
    </row>
    <row r="224" spans="2:25" x14ac:dyDescent="0.3">
      <c r="B224" s="19"/>
      <c r="C224" s="652"/>
      <c r="D224" s="653"/>
      <c r="E224" s="653"/>
      <c r="F224" s="653"/>
      <c r="G224" s="653"/>
      <c r="H224" s="653"/>
      <c r="I224" s="653"/>
      <c r="J224" s="653"/>
      <c r="K224" s="653"/>
      <c r="L224" s="653"/>
      <c r="M224" s="653"/>
      <c r="N224" s="653"/>
      <c r="O224" s="653"/>
      <c r="P224" s="653"/>
      <c r="Q224" s="653"/>
      <c r="R224" s="653"/>
      <c r="S224" s="653"/>
      <c r="T224" s="653"/>
      <c r="U224" s="653"/>
      <c r="V224" s="653"/>
      <c r="W224" s="653"/>
      <c r="X224" s="654"/>
      <c r="Y224" s="20"/>
    </row>
    <row r="225" spans="2:25" x14ac:dyDescent="0.3">
      <c r="B225" s="19"/>
      <c r="C225" s="655"/>
      <c r="D225" s="656"/>
      <c r="E225" s="656"/>
      <c r="F225" s="656"/>
      <c r="G225" s="656"/>
      <c r="H225" s="656"/>
      <c r="I225" s="656"/>
      <c r="J225" s="656"/>
      <c r="K225" s="656"/>
      <c r="L225" s="656"/>
      <c r="M225" s="656"/>
      <c r="N225" s="656"/>
      <c r="O225" s="656"/>
      <c r="P225" s="656"/>
      <c r="Q225" s="656"/>
      <c r="R225" s="656"/>
      <c r="S225" s="656"/>
      <c r="T225" s="656"/>
      <c r="U225" s="656"/>
      <c r="V225" s="656"/>
      <c r="W225" s="656"/>
      <c r="X225" s="657"/>
      <c r="Y225" s="20"/>
    </row>
    <row r="226" spans="2:25" x14ac:dyDescent="0.3">
      <c r="B226" s="19"/>
      <c r="C226" s="655"/>
      <c r="D226" s="656"/>
      <c r="E226" s="656"/>
      <c r="F226" s="656"/>
      <c r="G226" s="656"/>
      <c r="H226" s="656"/>
      <c r="I226" s="656"/>
      <c r="J226" s="656"/>
      <c r="K226" s="656"/>
      <c r="L226" s="656"/>
      <c r="M226" s="656"/>
      <c r="N226" s="656"/>
      <c r="O226" s="656"/>
      <c r="P226" s="656"/>
      <c r="Q226" s="656"/>
      <c r="R226" s="656"/>
      <c r="S226" s="656"/>
      <c r="T226" s="656"/>
      <c r="U226" s="656"/>
      <c r="V226" s="656"/>
      <c r="W226" s="656"/>
      <c r="X226" s="657"/>
      <c r="Y226" s="20"/>
    </row>
    <row r="227" spans="2:25" x14ac:dyDescent="0.3">
      <c r="B227" s="19"/>
      <c r="C227" s="655"/>
      <c r="D227" s="656"/>
      <c r="E227" s="656"/>
      <c r="F227" s="656"/>
      <c r="G227" s="656"/>
      <c r="H227" s="656"/>
      <c r="I227" s="656"/>
      <c r="J227" s="656"/>
      <c r="K227" s="656"/>
      <c r="L227" s="656"/>
      <c r="M227" s="656"/>
      <c r="N227" s="656"/>
      <c r="O227" s="656"/>
      <c r="P227" s="656"/>
      <c r="Q227" s="656"/>
      <c r="R227" s="656"/>
      <c r="S227" s="656"/>
      <c r="T227" s="656"/>
      <c r="U227" s="656"/>
      <c r="V227" s="656"/>
      <c r="W227" s="656"/>
      <c r="X227" s="657"/>
      <c r="Y227" s="20"/>
    </row>
    <row r="228" spans="2:25" x14ac:dyDescent="0.3">
      <c r="B228" s="19"/>
      <c r="C228" s="658"/>
      <c r="D228" s="659"/>
      <c r="E228" s="659"/>
      <c r="F228" s="659"/>
      <c r="G228" s="659"/>
      <c r="H228" s="659"/>
      <c r="I228" s="659"/>
      <c r="J228" s="659"/>
      <c r="K228" s="659"/>
      <c r="L228" s="659"/>
      <c r="M228" s="659"/>
      <c r="N228" s="659"/>
      <c r="O228" s="659"/>
      <c r="P228" s="659"/>
      <c r="Q228" s="659"/>
      <c r="R228" s="659"/>
      <c r="S228" s="659"/>
      <c r="T228" s="659"/>
      <c r="U228" s="659"/>
      <c r="V228" s="659"/>
      <c r="W228" s="659"/>
      <c r="X228" s="660"/>
      <c r="Y228" s="20"/>
    </row>
    <row r="229" spans="2:25" x14ac:dyDescent="0.3">
      <c r="B229" s="19"/>
      <c r="Y229" s="20"/>
    </row>
    <row r="230" spans="2:25" x14ac:dyDescent="0.3">
      <c r="B230" s="19"/>
      <c r="C230" s="42" t="s">
        <v>310</v>
      </c>
      <c r="Y230" s="20"/>
    </row>
    <row r="231" spans="2:25" x14ac:dyDescent="0.3">
      <c r="B231" s="19"/>
      <c r="D231" s="47" t="s">
        <v>2309</v>
      </c>
      <c r="E231" s="47"/>
      <c r="F231" s="47"/>
      <c r="G231" s="47"/>
      <c r="H231" s="47"/>
      <c r="I231" s="47"/>
      <c r="J231" s="47"/>
      <c r="K231" s="47"/>
      <c r="L231" s="47"/>
      <c r="M231" s="43"/>
      <c r="N231" s="833"/>
      <c r="O231" s="834"/>
      <c r="P231" s="65" t="s">
        <v>248</v>
      </c>
      <c r="R231" s="141" t="str">
        <f>IF(N231&gt;N237,"Attention : surface saisie &gt; SAU hors horticulture","")</f>
        <v/>
      </c>
      <c r="Y231" s="20"/>
    </row>
    <row r="232" spans="2:25" x14ac:dyDescent="0.3">
      <c r="B232" s="19"/>
      <c r="D232" s="48" t="s">
        <v>2376</v>
      </c>
      <c r="E232" s="48"/>
      <c r="F232" s="48"/>
      <c r="G232" s="48"/>
      <c r="H232" s="48"/>
      <c r="I232" s="48"/>
      <c r="J232" s="48"/>
      <c r="K232" s="48"/>
      <c r="L232" s="48"/>
      <c r="M232" s="44"/>
      <c r="N232" s="833"/>
      <c r="O232" s="834"/>
      <c r="P232" s="65" t="s">
        <v>248</v>
      </c>
      <c r="R232" s="141" t="str">
        <f>IF(N232&gt;N238,"Attention : surface saisie &gt; surface en horticulture","")</f>
        <v/>
      </c>
      <c r="Y232" s="20"/>
    </row>
    <row r="233" spans="2:25" x14ac:dyDescent="0.3">
      <c r="B233" s="19"/>
      <c r="Y233" s="20"/>
    </row>
    <row r="234" spans="2:25" x14ac:dyDescent="0.3">
      <c r="B234" s="19"/>
      <c r="Y234" s="20"/>
    </row>
    <row r="235" spans="2:25" x14ac:dyDescent="0.3">
      <c r="B235" s="19"/>
      <c r="C235" s="42"/>
      <c r="P235" s="678"/>
      <c r="Q235" s="678"/>
      <c r="Y235" s="20"/>
    </row>
    <row r="236" spans="2:25" x14ac:dyDescent="0.3">
      <c r="B236" s="19"/>
      <c r="C236" s="42"/>
      <c r="P236" s="678" t="s">
        <v>3204</v>
      </c>
      <c r="Q236" s="678"/>
      <c r="Y236" s="20"/>
    </row>
    <row r="237" spans="2:25" x14ac:dyDescent="0.3">
      <c r="B237" s="19"/>
      <c r="C237" s="42"/>
      <c r="D237" s="40" t="s">
        <v>2310</v>
      </c>
      <c r="E237" s="40"/>
      <c r="F237" s="40"/>
      <c r="G237" s="40"/>
      <c r="H237" s="40"/>
      <c r="I237" s="40"/>
      <c r="J237" s="40"/>
      <c r="K237" s="40"/>
      <c r="L237" s="40"/>
      <c r="M237" s="40"/>
      <c r="N237" s="840">
        <f>cSAU-Surfaces!O198</f>
        <v>0</v>
      </c>
      <c r="O237" s="841"/>
      <c r="P237" s="94"/>
      <c r="Q237" s="94"/>
      <c r="Y237" s="20"/>
    </row>
    <row r="238" spans="2:25" x14ac:dyDescent="0.3">
      <c r="B238" s="19"/>
      <c r="D238" s="48" t="s">
        <v>2307</v>
      </c>
      <c r="E238" s="40"/>
      <c r="F238" s="40"/>
      <c r="G238" s="40"/>
      <c r="H238" s="40"/>
      <c r="I238" s="40"/>
      <c r="J238" s="40"/>
      <c r="K238" s="40"/>
      <c r="L238" s="40"/>
      <c r="M238" s="40"/>
      <c r="N238" s="840">
        <f>Surfaces!O198</f>
        <v>0</v>
      </c>
      <c r="O238" s="841"/>
      <c r="Y238" s="20"/>
    </row>
    <row r="239" spans="2:25" x14ac:dyDescent="0.3">
      <c r="B239" s="19"/>
      <c r="D239" s="77" t="s">
        <v>2311</v>
      </c>
      <c r="E239" s="77"/>
      <c r="F239" s="77"/>
      <c r="G239" s="77"/>
      <c r="H239" s="77"/>
      <c r="I239" s="77"/>
      <c r="J239" s="77"/>
      <c r="K239" s="77"/>
      <c r="L239" s="77"/>
      <c r="M239" s="77"/>
      <c r="N239" s="837">
        <f>IFERROR(N231/N237,0)</f>
        <v>0</v>
      </c>
      <c r="O239" s="838"/>
      <c r="P239" s="778">
        <f>IF(N239&gt;=0.75,3,IF(AND(N239&lt;0.75,N239&gt;=0.625),2.5,IF(AND(N239&lt;0.625,N239&gt;=0.5),2,IF(AND(N239&lt;0.5,N239&gt;=0.375),1.5,IF(AND(N239&lt;0.375,N239&gt;=0.25),1,0)))))</f>
        <v>0</v>
      </c>
      <c r="Q239" s="779"/>
      <c r="Y239" s="20"/>
    </row>
    <row r="240" spans="2:25" x14ac:dyDescent="0.3">
      <c r="B240" s="19"/>
      <c r="D240" s="77" t="s">
        <v>2308</v>
      </c>
      <c r="E240" s="77"/>
      <c r="F240" s="77"/>
      <c r="G240" s="77"/>
      <c r="H240" s="77"/>
      <c r="I240" s="77"/>
      <c r="J240" s="77"/>
      <c r="K240" s="77"/>
      <c r="L240" s="77"/>
      <c r="M240" s="77"/>
      <c r="N240" s="837">
        <f>IFERROR(N232/N238,0)</f>
        <v>0</v>
      </c>
      <c r="O240" s="838"/>
      <c r="P240" s="778">
        <f>IF(AND(N240&gt;=0.25,N240&lt;0.5),2,IF(AND(N240&gt;=0.5,N240&lt;0.75),4,IF(N240&gt;=0.75,6,0)))</f>
        <v>0</v>
      </c>
      <c r="Q240" s="779"/>
      <c r="W240" s="680"/>
      <c r="X240" s="680"/>
      <c r="Y240" s="20"/>
    </row>
    <row r="241" spans="2:25" x14ac:dyDescent="0.3">
      <c r="B241" s="19"/>
      <c r="D241" s="40" t="s">
        <v>294</v>
      </c>
      <c r="E241" s="40"/>
      <c r="F241" s="40"/>
      <c r="G241" s="40"/>
      <c r="H241" s="40"/>
      <c r="I241" s="40"/>
      <c r="J241" s="40"/>
      <c r="K241" s="40"/>
      <c r="L241" s="40"/>
      <c r="M241" s="40"/>
      <c r="N241" s="840">
        <f>Surfaces!O25</f>
        <v>0</v>
      </c>
      <c r="O241" s="841"/>
      <c r="P241" s="375"/>
      <c r="Q241" s="376"/>
      <c r="V241" s="680" t="s">
        <v>3205</v>
      </c>
      <c r="W241" s="680"/>
      <c r="X241" s="680"/>
      <c r="Y241" s="681"/>
    </row>
    <row r="242" spans="2:25" x14ac:dyDescent="0.3">
      <c r="B242" s="19"/>
      <c r="D242" s="86" t="s">
        <v>417</v>
      </c>
      <c r="E242" s="77"/>
      <c r="F242" s="77"/>
      <c r="G242" s="77"/>
      <c r="H242" s="77"/>
      <c r="I242" s="77"/>
      <c r="J242" s="77"/>
      <c r="K242" s="77"/>
      <c r="L242" s="77"/>
      <c r="M242" s="77"/>
      <c r="N242" s="138"/>
      <c r="O242" s="139"/>
      <c r="P242" s="858">
        <f>IF(ISBLANK(L11),0,IF(cSAU=0,0,IF(UTILISATION_CMR1&lt;&gt;"Oui",MIN((P239*(N237/N241))+(P240*(N238/N241)),6),0)))</f>
        <v>0</v>
      </c>
      <c r="Q242" s="859"/>
      <c r="W242" s="780">
        <f>IF(cSAU = 0,6,(6*(N238/N241))+(3*(SUM(N237:O237)/N241)))</f>
        <v>6</v>
      </c>
      <c r="X242" s="781"/>
      <c r="Y242" s="20"/>
    </row>
    <row r="243" spans="2:25" x14ac:dyDescent="0.3">
      <c r="B243" s="19"/>
      <c r="Y243" s="20"/>
    </row>
    <row r="244" spans="2:25" ht="15" thickBot="1" x14ac:dyDescent="0.35">
      <c r="B244" s="22"/>
      <c r="C244" s="23"/>
      <c r="D244" s="23"/>
      <c r="E244" s="23"/>
      <c r="F244" s="23"/>
      <c r="G244" s="23"/>
      <c r="H244" s="23"/>
      <c r="I244" s="23"/>
      <c r="J244" s="23"/>
      <c r="K244" s="23"/>
      <c r="L244" s="23"/>
      <c r="M244" s="23"/>
      <c r="N244" s="23"/>
      <c r="O244" s="23"/>
      <c r="P244" s="23"/>
      <c r="Q244" s="23"/>
      <c r="R244" s="23"/>
      <c r="S244" s="23"/>
      <c r="T244" s="23"/>
      <c r="U244" s="23"/>
      <c r="V244" s="23"/>
      <c r="W244" s="23"/>
      <c r="X244" s="23"/>
      <c r="Y244" s="24"/>
    </row>
    <row r="247" spans="2:25" ht="15" thickBot="1" x14ac:dyDescent="0.35"/>
    <row r="248" spans="2:25" x14ac:dyDescent="0.3">
      <c r="B248" s="16"/>
      <c r="C248" s="17"/>
      <c r="D248" s="17"/>
      <c r="E248" s="17"/>
      <c r="F248" s="17"/>
      <c r="G248" s="17"/>
      <c r="H248" s="17"/>
      <c r="I248" s="17"/>
      <c r="J248" s="17"/>
      <c r="K248" s="17"/>
      <c r="L248" s="17"/>
      <c r="M248" s="17"/>
      <c r="N248" s="17"/>
      <c r="O248" s="17"/>
      <c r="P248" s="17"/>
      <c r="Q248" s="17"/>
      <c r="R248" s="17"/>
      <c r="S248" s="17"/>
      <c r="T248" s="17"/>
      <c r="U248" s="17"/>
      <c r="V248" s="17"/>
      <c r="W248" s="17"/>
      <c r="X248" s="17"/>
      <c r="Y248" s="18"/>
    </row>
    <row r="249" spans="2:25" x14ac:dyDescent="0.3">
      <c r="B249" s="19"/>
      <c r="Y249" s="20"/>
    </row>
    <row r="250" spans="2:25" x14ac:dyDescent="0.3">
      <c r="B250" s="19"/>
      <c r="C250" s="377" t="s">
        <v>2474</v>
      </c>
      <c r="Y250" s="20"/>
    </row>
    <row r="251" spans="2:25" x14ac:dyDescent="0.3">
      <c r="B251" s="19"/>
      <c r="Y251" s="20"/>
    </row>
    <row r="252" spans="2:25" x14ac:dyDescent="0.3">
      <c r="B252" s="19"/>
      <c r="J252" s="850" t="s">
        <v>253</v>
      </c>
      <c r="K252" s="850"/>
      <c r="Y252" s="20"/>
    </row>
    <row r="253" spans="2:25" x14ac:dyDescent="0.3">
      <c r="B253" s="19"/>
      <c r="C253" s="47" t="s">
        <v>381</v>
      </c>
      <c r="D253" s="47"/>
      <c r="E253" s="47"/>
      <c r="F253" s="47"/>
      <c r="G253" s="47"/>
      <c r="H253" s="47"/>
      <c r="I253" s="43"/>
      <c r="J253" s="747"/>
      <c r="K253" s="748"/>
      <c r="Y253" s="20"/>
    </row>
    <row r="254" spans="2:25" x14ac:dyDescent="0.3">
      <c r="B254" s="19"/>
      <c r="Y254" s="20"/>
    </row>
    <row r="255" spans="2:25" x14ac:dyDescent="0.3">
      <c r="B255" s="19"/>
      <c r="Y255" s="20"/>
    </row>
    <row r="256" spans="2:25" x14ac:dyDescent="0.3">
      <c r="B256" s="19"/>
      <c r="C256" s="42" t="s">
        <v>2312</v>
      </c>
      <c r="Y256" s="20"/>
    </row>
    <row r="257" spans="2:25" x14ac:dyDescent="0.3">
      <c r="B257" s="19"/>
      <c r="C257" s="760"/>
      <c r="D257" s="653"/>
      <c r="E257" s="653"/>
      <c r="F257" s="653"/>
      <c r="G257" s="653"/>
      <c r="H257" s="653"/>
      <c r="I257" s="653"/>
      <c r="J257" s="653"/>
      <c r="K257" s="653"/>
      <c r="L257" s="653"/>
      <c r="M257" s="653"/>
      <c r="N257" s="653"/>
      <c r="O257" s="653"/>
      <c r="P257" s="653"/>
      <c r="Q257" s="653"/>
      <c r="R257" s="653"/>
      <c r="S257" s="653"/>
      <c r="T257" s="653"/>
      <c r="U257" s="653"/>
      <c r="V257" s="653"/>
      <c r="W257" s="654"/>
      <c r="Y257" s="20"/>
    </row>
    <row r="258" spans="2:25" x14ac:dyDescent="0.3">
      <c r="B258" s="19"/>
      <c r="C258" s="655"/>
      <c r="D258" s="656"/>
      <c r="E258" s="656"/>
      <c r="F258" s="656"/>
      <c r="G258" s="656"/>
      <c r="H258" s="656"/>
      <c r="I258" s="656"/>
      <c r="J258" s="656"/>
      <c r="K258" s="656"/>
      <c r="L258" s="656"/>
      <c r="M258" s="656"/>
      <c r="N258" s="656"/>
      <c r="O258" s="656"/>
      <c r="P258" s="656"/>
      <c r="Q258" s="656"/>
      <c r="R258" s="656"/>
      <c r="S258" s="656"/>
      <c r="T258" s="656"/>
      <c r="U258" s="656"/>
      <c r="V258" s="656"/>
      <c r="W258" s="657"/>
      <c r="Y258" s="20"/>
    </row>
    <row r="259" spans="2:25" x14ac:dyDescent="0.3">
      <c r="B259" s="19"/>
      <c r="C259" s="655"/>
      <c r="D259" s="656"/>
      <c r="E259" s="656"/>
      <c r="F259" s="656"/>
      <c r="G259" s="656"/>
      <c r="H259" s="656"/>
      <c r="I259" s="656"/>
      <c r="J259" s="656"/>
      <c r="K259" s="656"/>
      <c r="L259" s="656"/>
      <c r="M259" s="656"/>
      <c r="N259" s="656"/>
      <c r="O259" s="656"/>
      <c r="P259" s="656"/>
      <c r="Q259" s="656"/>
      <c r="R259" s="656"/>
      <c r="S259" s="656"/>
      <c r="T259" s="656"/>
      <c r="U259" s="656"/>
      <c r="V259" s="656"/>
      <c r="W259" s="657"/>
      <c r="Y259" s="20"/>
    </row>
    <row r="260" spans="2:25" x14ac:dyDescent="0.3">
      <c r="B260" s="19"/>
      <c r="C260" s="655"/>
      <c r="D260" s="656"/>
      <c r="E260" s="656"/>
      <c r="F260" s="656"/>
      <c r="G260" s="656"/>
      <c r="H260" s="656"/>
      <c r="I260" s="656"/>
      <c r="J260" s="656"/>
      <c r="K260" s="656"/>
      <c r="L260" s="656"/>
      <c r="M260" s="656"/>
      <c r="N260" s="656"/>
      <c r="O260" s="656"/>
      <c r="P260" s="656"/>
      <c r="Q260" s="656"/>
      <c r="R260" s="656"/>
      <c r="S260" s="656"/>
      <c r="T260" s="656"/>
      <c r="U260" s="656"/>
      <c r="V260" s="656"/>
      <c r="W260" s="657"/>
      <c r="Y260" s="20"/>
    </row>
    <row r="261" spans="2:25" x14ac:dyDescent="0.3">
      <c r="B261" s="19"/>
      <c r="C261" s="658"/>
      <c r="D261" s="659"/>
      <c r="E261" s="659"/>
      <c r="F261" s="659"/>
      <c r="G261" s="659"/>
      <c r="H261" s="659"/>
      <c r="I261" s="659"/>
      <c r="J261" s="659"/>
      <c r="K261" s="659"/>
      <c r="L261" s="659"/>
      <c r="M261" s="659"/>
      <c r="N261" s="659"/>
      <c r="O261" s="659"/>
      <c r="P261" s="659"/>
      <c r="Q261" s="659"/>
      <c r="R261" s="659"/>
      <c r="S261" s="659"/>
      <c r="T261" s="659"/>
      <c r="U261" s="659"/>
      <c r="V261" s="659"/>
      <c r="W261" s="660"/>
      <c r="Y261" s="20"/>
    </row>
    <row r="262" spans="2:25" x14ac:dyDescent="0.3">
      <c r="B262" s="19"/>
      <c r="Y262" s="20"/>
    </row>
    <row r="263" spans="2:25" x14ac:dyDescent="0.3">
      <c r="B263" s="19"/>
      <c r="C263" s="42"/>
      <c r="Y263" s="20"/>
    </row>
    <row r="264" spans="2:25" x14ac:dyDescent="0.3">
      <c r="B264" s="19"/>
      <c r="D264" s="678"/>
      <c r="E264" s="678"/>
      <c r="Y264" s="20"/>
    </row>
    <row r="265" spans="2:25" x14ac:dyDescent="0.3">
      <c r="B265" s="19"/>
      <c r="D265" s="678" t="s">
        <v>3204</v>
      </c>
      <c r="E265" s="678"/>
      <c r="V265" s="680" t="s">
        <v>3205</v>
      </c>
      <c r="W265" s="680"/>
      <c r="X265" s="680"/>
      <c r="Y265" s="681"/>
    </row>
    <row r="266" spans="2:25" x14ac:dyDescent="0.3">
      <c r="B266" s="19"/>
      <c r="D266" s="853">
        <f>IF(ISBLANK(L11),0,IF(UTILISATION_CMR1&lt;&gt;"Oui",IFERROR(IF(J253=1,1,IF(J253&gt;=2,2,0)),0),0))</f>
        <v>0</v>
      </c>
      <c r="E266" s="854"/>
      <c r="F266" s="141"/>
      <c r="W266" s="862">
        <v>2</v>
      </c>
      <c r="X266" s="863"/>
      <c r="Y266" s="20"/>
    </row>
    <row r="267" spans="2:25" x14ac:dyDescent="0.3">
      <c r="B267" s="19"/>
      <c r="Y267" s="20"/>
    </row>
    <row r="268" spans="2:25" ht="15" thickBot="1" x14ac:dyDescent="0.35">
      <c r="B268" s="22"/>
      <c r="C268" s="23"/>
      <c r="D268" s="23"/>
      <c r="E268" s="23"/>
      <c r="F268" s="23"/>
      <c r="G268" s="23"/>
      <c r="H268" s="23"/>
      <c r="I268" s="23"/>
      <c r="J268" s="23"/>
      <c r="K268" s="23"/>
      <c r="L268" s="23"/>
      <c r="M268" s="23"/>
      <c r="N268" s="23"/>
      <c r="O268" s="23"/>
      <c r="P268" s="23"/>
      <c r="Q268" s="23"/>
      <c r="R268" s="23"/>
      <c r="S268" s="23"/>
      <c r="T268" s="23"/>
      <c r="U268" s="23"/>
      <c r="V268" s="23"/>
      <c r="W268" s="23"/>
      <c r="X268" s="23"/>
      <c r="Y268" s="24"/>
    </row>
    <row r="271" spans="2:25" ht="15" thickBot="1" x14ac:dyDescent="0.35"/>
    <row r="272" spans="2:25" x14ac:dyDescent="0.3">
      <c r="B272" s="16"/>
      <c r="C272" s="17"/>
      <c r="D272" s="17"/>
      <c r="E272" s="17"/>
      <c r="F272" s="17"/>
      <c r="G272" s="17"/>
      <c r="H272" s="17"/>
      <c r="I272" s="17"/>
      <c r="J272" s="17"/>
      <c r="K272" s="17"/>
      <c r="L272" s="17"/>
      <c r="M272" s="17"/>
      <c r="N272" s="17"/>
      <c r="O272" s="17"/>
      <c r="P272" s="17"/>
      <c r="Q272" s="17"/>
      <c r="R272" s="17"/>
      <c r="S272" s="17"/>
      <c r="T272" s="17"/>
      <c r="U272" s="17"/>
      <c r="V272" s="17"/>
      <c r="W272" s="17"/>
      <c r="X272" s="17"/>
      <c r="Y272" s="18"/>
    </row>
    <row r="273" spans="2:25" x14ac:dyDescent="0.3">
      <c r="B273" s="19"/>
      <c r="L273" s="678"/>
      <c r="M273" s="678"/>
      <c r="Y273" s="20"/>
    </row>
    <row r="274" spans="2:25" x14ac:dyDescent="0.3">
      <c r="B274" s="19"/>
      <c r="C274" s="42" t="s">
        <v>302</v>
      </c>
      <c r="L274" s="678" t="s">
        <v>3204</v>
      </c>
      <c r="M274" s="678"/>
      <c r="Y274" s="20"/>
    </row>
    <row r="275" spans="2:25" x14ac:dyDescent="0.3">
      <c r="B275" s="19"/>
      <c r="D275" s="47" t="s">
        <v>311</v>
      </c>
      <c r="E275" s="47"/>
      <c r="F275" s="47"/>
      <c r="G275" s="47"/>
      <c r="H275" s="47"/>
      <c r="I275" s="43"/>
      <c r="J275" s="747"/>
      <c r="K275" s="748"/>
      <c r="L275" s="848">
        <f>IF(J275="",0,IF(J275&lt;2,0,IF(J275=2,1,IF(J275&gt;=3,2,0))))</f>
        <v>0</v>
      </c>
      <c r="M275" s="849"/>
      <c r="Y275" s="20"/>
    </row>
    <row r="276" spans="2:25" x14ac:dyDescent="0.3">
      <c r="B276" s="19"/>
      <c r="Y276" s="20"/>
    </row>
    <row r="277" spans="2:25" x14ac:dyDescent="0.3">
      <c r="B277" s="19"/>
      <c r="C277" s="42" t="s">
        <v>312</v>
      </c>
      <c r="Y277" s="20"/>
    </row>
    <row r="278" spans="2:25" x14ac:dyDescent="0.3">
      <c r="B278" s="19"/>
      <c r="D278" s="47" t="s">
        <v>313</v>
      </c>
      <c r="E278" s="47"/>
      <c r="F278" s="47"/>
      <c r="G278" s="47"/>
      <c r="H278" s="47"/>
      <c r="I278" s="43"/>
      <c r="J278" s="851">
        <f>Biodiversité!I147</f>
        <v>0</v>
      </c>
      <c r="K278" s="852"/>
      <c r="Y278" s="20"/>
    </row>
    <row r="279" spans="2:25" x14ac:dyDescent="0.3">
      <c r="B279" s="19"/>
      <c r="D279" s="48" t="s">
        <v>314</v>
      </c>
      <c r="E279" s="48"/>
      <c r="F279" s="48"/>
      <c r="G279" s="48"/>
      <c r="H279" s="48"/>
      <c r="I279" s="44"/>
      <c r="J279" s="747"/>
      <c r="K279" s="748"/>
      <c r="Y279" s="20"/>
    </row>
    <row r="280" spans="2:25" x14ac:dyDescent="0.3">
      <c r="B280" s="19"/>
      <c r="D280" s="48" t="s">
        <v>315</v>
      </c>
      <c r="E280" s="48"/>
      <c r="F280" s="48"/>
      <c r="G280" s="48"/>
      <c r="H280" s="48"/>
      <c r="I280" s="44"/>
      <c r="J280" s="747"/>
      <c r="K280" s="748"/>
      <c r="L280" s="848">
        <f>IFERROR(MIN(J279+(J280*2),6),0)</f>
        <v>0</v>
      </c>
      <c r="M280" s="849"/>
      <c r="O280" s="839" t="str">
        <f>IF(SUM(J279:K280)&gt;J278,"ATTENTION : Problème de cohérence des données","")</f>
        <v/>
      </c>
      <c r="P280" s="839"/>
      <c r="Q280" s="839"/>
      <c r="R280" s="839"/>
      <c r="S280" s="839"/>
      <c r="T280" s="839"/>
      <c r="Y280" s="20"/>
    </row>
    <row r="281" spans="2:25" x14ac:dyDescent="0.3">
      <c r="B281" s="19"/>
      <c r="Y281" s="20"/>
    </row>
    <row r="282" spans="2:25" x14ac:dyDescent="0.3">
      <c r="B282" s="19"/>
      <c r="C282" s="42" t="s">
        <v>2904</v>
      </c>
      <c r="Y282" s="20"/>
    </row>
    <row r="283" spans="2:25" x14ac:dyDescent="0.3">
      <c r="B283" s="19"/>
      <c r="D283" s="47" t="s">
        <v>313</v>
      </c>
      <c r="E283" s="47"/>
      <c r="F283" s="47"/>
      <c r="G283" s="47"/>
      <c r="H283" s="47"/>
      <c r="I283" s="43"/>
      <c r="J283" s="851">
        <f>Biodiversité!I145+Biodiversité!I146</f>
        <v>0</v>
      </c>
      <c r="K283" s="852"/>
      <c r="Y283" s="20"/>
    </row>
    <row r="284" spans="2:25" x14ac:dyDescent="0.3">
      <c r="B284" s="19"/>
      <c r="D284" s="48" t="s">
        <v>314</v>
      </c>
      <c r="E284" s="48"/>
      <c r="F284" s="48"/>
      <c r="G284" s="48"/>
      <c r="H284" s="48"/>
      <c r="I284" s="44"/>
      <c r="J284" s="747"/>
      <c r="K284" s="748"/>
      <c r="Y284" s="20"/>
    </row>
    <row r="285" spans="2:25" x14ac:dyDescent="0.3">
      <c r="B285" s="19"/>
      <c r="D285" s="48" t="s">
        <v>315</v>
      </c>
      <c r="E285" s="48"/>
      <c r="F285" s="48"/>
      <c r="G285" s="48"/>
      <c r="H285" s="48"/>
      <c r="I285" s="44"/>
      <c r="J285" s="747"/>
      <c r="K285" s="748"/>
      <c r="L285" s="848">
        <f>IFERROR(MIN(J284+(J285*2),6),0)</f>
        <v>0</v>
      </c>
      <c r="M285" s="849"/>
      <c r="O285" s="839" t="str">
        <f>IF(SUM(J284:K285)&gt;J283,"ATTENTION : Problème de cohérence des données","")</f>
        <v/>
      </c>
      <c r="P285" s="839"/>
      <c r="Q285" s="839"/>
      <c r="R285" s="839"/>
      <c r="S285" s="839"/>
      <c r="T285" s="839"/>
      <c r="Y285" s="20"/>
    </row>
    <row r="286" spans="2:25" x14ac:dyDescent="0.3">
      <c r="B286" s="19"/>
      <c r="Y286" s="20"/>
    </row>
    <row r="287" spans="2:25" x14ac:dyDescent="0.3">
      <c r="B287" s="19"/>
      <c r="C287" s="42" t="s">
        <v>121</v>
      </c>
      <c r="Y287" s="20"/>
    </row>
    <row r="288" spans="2:25" x14ac:dyDescent="0.3">
      <c r="B288" s="19"/>
      <c r="D288" s="47" t="s">
        <v>313</v>
      </c>
      <c r="E288" s="47"/>
      <c r="F288" s="47"/>
      <c r="G288" s="47"/>
      <c r="H288" s="47"/>
      <c r="I288" s="43"/>
      <c r="J288" s="851">
        <f>Biodiversité!I148</f>
        <v>0</v>
      </c>
      <c r="K288" s="852"/>
      <c r="Y288" s="20"/>
    </row>
    <row r="289" spans="2:25" x14ac:dyDescent="0.3">
      <c r="B289" s="19"/>
      <c r="D289" s="48" t="s">
        <v>314</v>
      </c>
      <c r="E289" s="48"/>
      <c r="F289" s="48"/>
      <c r="G289" s="48"/>
      <c r="H289" s="48"/>
      <c r="I289" s="44"/>
      <c r="J289" s="747"/>
      <c r="K289" s="748"/>
      <c r="Y289" s="20"/>
    </row>
    <row r="290" spans="2:25" x14ac:dyDescent="0.3">
      <c r="B290" s="19"/>
      <c r="D290" s="48" t="s">
        <v>315</v>
      </c>
      <c r="E290" s="48"/>
      <c r="F290" s="48"/>
      <c r="G290" s="48"/>
      <c r="H290" s="48"/>
      <c r="I290" s="44"/>
      <c r="J290" s="747"/>
      <c r="K290" s="748"/>
      <c r="L290" s="848">
        <f>IFERROR(MIN(J289+(J290*2),6),0)</f>
        <v>0</v>
      </c>
      <c r="M290" s="849"/>
      <c r="O290" s="839" t="str">
        <f>IF(SUM(J289:K290)&gt;J288,"ATTENTION : Problème de cohérence des données","")</f>
        <v/>
      </c>
      <c r="P290" s="839"/>
      <c r="Q290" s="839"/>
      <c r="R290" s="839"/>
      <c r="S290" s="839"/>
      <c r="T290" s="839"/>
      <c r="Y290" s="20"/>
    </row>
    <row r="291" spans="2:25" x14ac:dyDescent="0.3">
      <c r="B291" s="19"/>
      <c r="Y291" s="20"/>
    </row>
    <row r="292" spans="2:25" x14ac:dyDescent="0.3">
      <c r="B292" s="19"/>
      <c r="Y292" s="20"/>
    </row>
    <row r="293" spans="2:25" x14ac:dyDescent="0.3">
      <c r="B293" s="19"/>
      <c r="C293" s="42"/>
      <c r="D293" s="75" t="s">
        <v>294</v>
      </c>
      <c r="E293" s="75"/>
      <c r="F293" s="75"/>
      <c r="G293" s="75"/>
      <c r="H293" s="75"/>
      <c r="I293" s="100"/>
      <c r="J293" s="840">
        <f>Surfaces!O25</f>
        <v>0</v>
      </c>
      <c r="K293" s="841"/>
      <c r="L293" s="861"/>
      <c r="M293" s="850"/>
      <c r="Y293" s="20"/>
    </row>
    <row r="294" spans="2:25" x14ac:dyDescent="0.3">
      <c r="B294" s="19"/>
      <c r="C294" s="42"/>
      <c r="D294" s="76" t="s">
        <v>589</v>
      </c>
      <c r="E294" s="76"/>
      <c r="F294" s="76"/>
      <c r="G294" s="76"/>
      <c r="H294" s="76"/>
      <c r="I294" s="101"/>
      <c r="J294" s="837">
        <f>IFERROR(Surfaces!O142/J293,0)</f>
        <v>0</v>
      </c>
      <c r="K294" s="838"/>
      <c r="L294" s="842">
        <f>IFERROR(L275*J294,0)</f>
        <v>0</v>
      </c>
      <c r="M294" s="843"/>
      <c r="Y294" s="20"/>
    </row>
    <row r="295" spans="2:25" x14ac:dyDescent="0.3">
      <c r="B295" s="19"/>
      <c r="C295" s="42"/>
      <c r="D295" s="76" t="s">
        <v>861</v>
      </c>
      <c r="E295" s="76"/>
      <c r="F295" s="76"/>
      <c r="G295" s="76"/>
      <c r="H295" s="76"/>
      <c r="I295" s="101"/>
      <c r="J295" s="837">
        <f>IFERROR(SUM(Surfaces!O145:O159,Surfaces!O162)/Phyto!J293,0)</f>
        <v>0</v>
      </c>
      <c r="K295" s="838"/>
      <c r="L295" s="842">
        <f>IFERROR(L280*J295,0)</f>
        <v>0</v>
      </c>
      <c r="M295" s="843"/>
      <c r="Y295" s="20"/>
    </row>
    <row r="296" spans="2:25" x14ac:dyDescent="0.3">
      <c r="B296" s="19"/>
      <c r="C296" s="42"/>
      <c r="D296" s="76" t="s">
        <v>2521</v>
      </c>
      <c r="E296" s="76"/>
      <c r="F296" s="76"/>
      <c r="G296" s="76"/>
      <c r="H296" s="76"/>
      <c r="I296" s="101"/>
      <c r="J296" s="837">
        <f>IFERROR(SUM(Surfaces!O134:O136)/Phyto!J293,0)</f>
        <v>0</v>
      </c>
      <c r="K296" s="838"/>
      <c r="L296" s="842">
        <f>IFERROR(L285*J296,0)</f>
        <v>0</v>
      </c>
      <c r="M296" s="843"/>
      <c r="Y296" s="20"/>
    </row>
    <row r="297" spans="2:25" x14ac:dyDescent="0.3">
      <c r="B297" s="19"/>
      <c r="C297" s="42"/>
      <c r="D297" s="76" t="s">
        <v>862</v>
      </c>
      <c r="E297" s="76"/>
      <c r="F297" s="76"/>
      <c r="G297" s="76"/>
      <c r="H297" s="76"/>
      <c r="I297" s="101"/>
      <c r="J297" s="837">
        <f>IFERROR(Surfaces!O137/Phyto!J293,0)</f>
        <v>0</v>
      </c>
      <c r="K297" s="838"/>
      <c r="L297" s="842">
        <f>IFERROR(L290*J297,0)</f>
        <v>0</v>
      </c>
      <c r="M297" s="843"/>
      <c r="Y297" s="20"/>
    </row>
    <row r="298" spans="2:25" x14ac:dyDescent="0.3">
      <c r="B298" s="19"/>
      <c r="L298" s="839"/>
      <c r="M298" s="839"/>
      <c r="V298" s="680" t="s">
        <v>3205</v>
      </c>
      <c r="W298" s="680"/>
      <c r="X298" s="680"/>
      <c r="Y298" s="681"/>
    </row>
    <row r="299" spans="2:25" x14ac:dyDescent="0.3">
      <c r="B299" s="19"/>
      <c r="D299" s="39" t="s">
        <v>417</v>
      </c>
      <c r="E299" s="40"/>
      <c r="F299" s="40"/>
      <c r="G299" s="40"/>
      <c r="H299" s="40"/>
      <c r="I299" s="40"/>
      <c r="J299" s="138"/>
      <c r="K299" s="139"/>
      <c r="L299" s="688">
        <f>IF(ISBLANK(L11),0,IFERROR(IF(UTILISATION_CMR1="Oui",0,IF(cSAU=0,0,SUM(L294:M297))),0))</f>
        <v>0</v>
      </c>
      <c r="M299" s="689"/>
      <c r="N299" t="s">
        <v>380</v>
      </c>
      <c r="W299" s="694">
        <f>IF(cSAU = 0,6,(2*J294)+(6*(J295+J296+J297)))</f>
        <v>6</v>
      </c>
      <c r="X299" s="695"/>
      <c r="Y299" s="20"/>
    </row>
    <row r="300" spans="2:25" x14ac:dyDescent="0.3">
      <c r="B300" s="19"/>
      <c r="D300" s="42"/>
      <c r="J300" s="137"/>
      <c r="K300" s="137"/>
      <c r="L300" s="41"/>
      <c r="M300" s="41"/>
      <c r="Y300" s="20"/>
    </row>
    <row r="301" spans="2:25" x14ac:dyDescent="0.3">
      <c r="B301" s="19"/>
      <c r="D301" s="42"/>
      <c r="J301" s="137"/>
      <c r="K301" s="137"/>
      <c r="L301" s="41"/>
      <c r="M301" s="41"/>
      <c r="Y301" s="20"/>
    </row>
    <row r="302" spans="2:25" x14ac:dyDescent="0.3">
      <c r="B302" s="19"/>
      <c r="D302" s="70" t="s">
        <v>2472</v>
      </c>
      <c r="Y302" s="20"/>
    </row>
    <row r="303" spans="2:25" x14ac:dyDescent="0.3">
      <c r="B303" s="19"/>
      <c r="D303" s="652"/>
      <c r="E303" s="653"/>
      <c r="F303" s="653"/>
      <c r="G303" s="653"/>
      <c r="H303" s="653"/>
      <c r="I303" s="653"/>
      <c r="J303" s="653"/>
      <c r="K303" s="653"/>
      <c r="L303" s="653"/>
      <c r="M303" s="653"/>
      <c r="N303" s="653"/>
      <c r="O303" s="653"/>
      <c r="P303" s="653"/>
      <c r="Q303" s="653"/>
      <c r="R303" s="653"/>
      <c r="S303" s="653"/>
      <c r="T303" s="653"/>
      <c r="U303" s="653"/>
      <c r="V303" s="653"/>
      <c r="W303" s="653"/>
      <c r="X303" s="654"/>
      <c r="Y303" s="20"/>
    </row>
    <row r="304" spans="2:25" x14ac:dyDescent="0.3">
      <c r="B304" s="19"/>
      <c r="D304" s="655"/>
      <c r="E304" s="656"/>
      <c r="F304" s="656"/>
      <c r="G304" s="656"/>
      <c r="H304" s="656"/>
      <c r="I304" s="656"/>
      <c r="J304" s="656"/>
      <c r="K304" s="656"/>
      <c r="L304" s="656"/>
      <c r="M304" s="656"/>
      <c r="N304" s="656"/>
      <c r="O304" s="656"/>
      <c r="P304" s="656"/>
      <c r="Q304" s="656"/>
      <c r="R304" s="656"/>
      <c r="S304" s="656"/>
      <c r="T304" s="656"/>
      <c r="U304" s="656"/>
      <c r="V304" s="656"/>
      <c r="W304" s="656"/>
      <c r="X304" s="657"/>
      <c r="Y304" s="20"/>
    </row>
    <row r="305" spans="2:25" x14ac:dyDescent="0.3">
      <c r="B305" s="19"/>
      <c r="D305" s="655"/>
      <c r="E305" s="656"/>
      <c r="F305" s="656"/>
      <c r="G305" s="656"/>
      <c r="H305" s="656"/>
      <c r="I305" s="656"/>
      <c r="J305" s="656"/>
      <c r="K305" s="656"/>
      <c r="L305" s="656"/>
      <c r="M305" s="656"/>
      <c r="N305" s="656"/>
      <c r="O305" s="656"/>
      <c r="P305" s="656"/>
      <c r="Q305" s="656"/>
      <c r="R305" s="656"/>
      <c r="S305" s="656"/>
      <c r="T305" s="656"/>
      <c r="U305" s="656"/>
      <c r="V305" s="656"/>
      <c r="W305" s="656"/>
      <c r="X305" s="657"/>
      <c r="Y305" s="20"/>
    </row>
    <row r="306" spans="2:25" x14ac:dyDescent="0.3">
      <c r="B306" s="19"/>
      <c r="D306" s="655"/>
      <c r="E306" s="656"/>
      <c r="F306" s="656"/>
      <c r="G306" s="656"/>
      <c r="H306" s="656"/>
      <c r="I306" s="656"/>
      <c r="J306" s="656"/>
      <c r="K306" s="656"/>
      <c r="L306" s="656"/>
      <c r="M306" s="656"/>
      <c r="N306" s="656"/>
      <c r="O306" s="656"/>
      <c r="P306" s="656"/>
      <c r="Q306" s="656"/>
      <c r="R306" s="656"/>
      <c r="S306" s="656"/>
      <c r="T306" s="656"/>
      <c r="U306" s="656"/>
      <c r="V306" s="656"/>
      <c r="W306" s="656"/>
      <c r="X306" s="657"/>
      <c r="Y306" s="20"/>
    </row>
    <row r="307" spans="2:25" x14ac:dyDescent="0.3">
      <c r="B307" s="19"/>
      <c r="D307" s="658"/>
      <c r="E307" s="659"/>
      <c r="F307" s="659"/>
      <c r="G307" s="659"/>
      <c r="H307" s="659"/>
      <c r="I307" s="659"/>
      <c r="J307" s="659"/>
      <c r="K307" s="659"/>
      <c r="L307" s="659"/>
      <c r="M307" s="659"/>
      <c r="N307" s="659"/>
      <c r="O307" s="659"/>
      <c r="P307" s="659"/>
      <c r="Q307" s="659"/>
      <c r="R307" s="659"/>
      <c r="S307" s="659"/>
      <c r="T307" s="659"/>
      <c r="U307" s="659"/>
      <c r="V307" s="659"/>
      <c r="W307" s="659"/>
      <c r="X307" s="660"/>
      <c r="Y307" s="20"/>
    </row>
    <row r="308" spans="2:25" x14ac:dyDescent="0.3">
      <c r="B308" s="19"/>
      <c r="D308" s="42"/>
      <c r="J308" s="137"/>
      <c r="K308" s="137"/>
      <c r="L308" s="41"/>
      <c r="M308" s="41"/>
      <c r="Y308" s="20"/>
    </row>
    <row r="309" spans="2:25" ht="15" thickBot="1" x14ac:dyDescent="0.35">
      <c r="B309" s="22"/>
      <c r="C309" s="23"/>
      <c r="D309" s="23"/>
      <c r="E309" s="23"/>
      <c r="F309" s="23"/>
      <c r="G309" s="23"/>
      <c r="H309" s="23"/>
      <c r="I309" s="23"/>
      <c r="J309" s="23"/>
      <c r="K309" s="23"/>
      <c r="L309" s="23"/>
      <c r="M309" s="23"/>
      <c r="N309" s="23"/>
      <c r="O309" s="23"/>
      <c r="P309" s="23"/>
      <c r="Q309" s="23"/>
      <c r="R309" s="23"/>
      <c r="S309" s="23"/>
      <c r="T309" s="23"/>
      <c r="U309" s="23"/>
      <c r="V309" s="23"/>
      <c r="W309" s="23"/>
      <c r="X309" s="23"/>
      <c r="Y309" s="24"/>
    </row>
    <row r="312" spans="2:25" ht="15" thickBot="1" x14ac:dyDescent="0.35"/>
    <row r="313" spans="2:25" x14ac:dyDescent="0.3">
      <c r="B313" s="16"/>
      <c r="C313" s="17"/>
      <c r="D313" s="17"/>
      <c r="E313" s="17"/>
      <c r="F313" s="17"/>
      <c r="G313" s="17"/>
      <c r="H313" s="17"/>
      <c r="I313" s="17"/>
      <c r="J313" s="17"/>
      <c r="K313" s="17"/>
      <c r="L313" s="17"/>
      <c r="M313" s="17"/>
      <c r="N313" s="17"/>
      <c r="O313" s="17"/>
      <c r="P313" s="17"/>
      <c r="Q313" s="17"/>
      <c r="R313" s="17"/>
      <c r="S313" s="17"/>
      <c r="T313" s="17"/>
      <c r="U313" s="17"/>
      <c r="V313" s="17"/>
      <c r="W313" s="17"/>
      <c r="X313" s="17"/>
      <c r="Y313" s="18"/>
    </row>
    <row r="314" spans="2:25" x14ac:dyDescent="0.3">
      <c r="B314" s="19"/>
      <c r="Y314" s="20"/>
    </row>
    <row r="315" spans="2:25" x14ac:dyDescent="0.3">
      <c r="B315" s="19"/>
      <c r="C315" s="776" t="s">
        <v>2475</v>
      </c>
      <c r="D315" s="776"/>
      <c r="E315" s="776"/>
      <c r="F315" s="776"/>
      <c r="G315" s="776"/>
      <c r="H315" s="776"/>
      <c r="I315" s="776"/>
      <c r="J315" s="776"/>
      <c r="K315" s="776"/>
      <c r="L315" s="776"/>
      <c r="M315" s="776"/>
      <c r="N315" s="776"/>
      <c r="O315" s="776"/>
      <c r="P315" s="776"/>
      <c r="Q315" s="776"/>
      <c r="R315" s="776"/>
      <c r="S315" s="776"/>
      <c r="T315" s="776"/>
      <c r="Y315" s="20"/>
    </row>
    <row r="316" spans="2:25" x14ac:dyDescent="0.3">
      <c r="B316" s="19"/>
      <c r="C316" s="776"/>
      <c r="D316" s="776"/>
      <c r="E316" s="776"/>
      <c r="F316" s="776"/>
      <c r="G316" s="776"/>
      <c r="H316" s="776"/>
      <c r="I316" s="776"/>
      <c r="J316" s="776"/>
      <c r="K316" s="776"/>
      <c r="L316" s="776"/>
      <c r="M316" s="776"/>
      <c r="N316" s="776"/>
      <c r="O316" s="776"/>
      <c r="P316" s="776"/>
      <c r="Q316" s="776"/>
      <c r="R316" s="776"/>
      <c r="S316" s="776"/>
      <c r="T316" s="776"/>
      <c r="Y316" s="20"/>
    </row>
    <row r="317" spans="2:25" x14ac:dyDescent="0.3">
      <c r="B317" s="19"/>
      <c r="J317" s="860" t="s">
        <v>3214</v>
      </c>
      <c r="K317" s="860"/>
      <c r="Y317" s="20"/>
    </row>
    <row r="318" spans="2:25" x14ac:dyDescent="0.3">
      <c r="B318" s="19"/>
      <c r="C318" s="47" t="s">
        <v>2313</v>
      </c>
      <c r="D318" s="47"/>
      <c r="E318" s="47"/>
      <c r="F318" s="47"/>
      <c r="G318" s="47"/>
      <c r="H318" s="47"/>
      <c r="I318" s="43"/>
      <c r="J318" s="844"/>
      <c r="K318" s="845"/>
      <c r="M318" s="141"/>
      <c r="Y318" s="20"/>
    </row>
    <row r="319" spans="2:25" x14ac:dyDescent="0.3">
      <c r="B319" s="19"/>
      <c r="C319" s="48" t="s">
        <v>2314</v>
      </c>
      <c r="D319" s="48"/>
      <c r="E319" s="48"/>
      <c r="F319" s="48"/>
      <c r="G319" s="48"/>
      <c r="H319" s="48"/>
      <c r="I319" s="44"/>
      <c r="J319" s="844"/>
      <c r="K319" s="845"/>
      <c r="M319" s="141"/>
      <c r="Y319" s="20"/>
    </row>
    <row r="320" spans="2:25" x14ac:dyDescent="0.3">
      <c r="B320" s="19"/>
      <c r="C320" s="48" t="s">
        <v>2377</v>
      </c>
      <c r="D320" s="48"/>
      <c r="E320" s="48"/>
      <c r="F320" s="48"/>
      <c r="G320" s="48"/>
      <c r="H320" s="48"/>
      <c r="I320" s="44"/>
      <c r="J320" s="844"/>
      <c r="K320" s="845"/>
      <c r="M320" s="141"/>
      <c r="Y320" s="20"/>
    </row>
    <row r="321" spans="2:25" x14ac:dyDescent="0.3">
      <c r="B321" s="19"/>
      <c r="Y321" s="20"/>
    </row>
    <row r="322" spans="2:25" x14ac:dyDescent="0.3">
      <c r="B322" s="19"/>
      <c r="Y322" s="20"/>
    </row>
    <row r="323" spans="2:25" x14ac:dyDescent="0.3">
      <c r="B323" s="19"/>
      <c r="C323" s="42"/>
      <c r="L323" s="678"/>
      <c r="M323" s="678"/>
      <c r="Y323" s="20"/>
    </row>
    <row r="324" spans="2:25" x14ac:dyDescent="0.3">
      <c r="B324" s="19"/>
      <c r="L324" s="678" t="s">
        <v>3204</v>
      </c>
      <c r="M324" s="678"/>
      <c r="Y324" s="20"/>
    </row>
    <row r="325" spans="2:25" x14ac:dyDescent="0.3">
      <c r="B325" s="19"/>
      <c r="D325" s="75" t="s">
        <v>316</v>
      </c>
      <c r="E325" s="75"/>
      <c r="F325" s="75"/>
      <c r="G325" s="75"/>
      <c r="H325" s="75"/>
      <c r="I325" s="100"/>
      <c r="J325" s="840">
        <f>Surfaces!O142</f>
        <v>0</v>
      </c>
      <c r="K325" s="841"/>
      <c r="L325" s="103"/>
      <c r="M325" s="89"/>
      <c r="Y325" s="20"/>
    </row>
    <row r="326" spans="2:25" x14ac:dyDescent="0.3">
      <c r="B326" s="19"/>
      <c r="D326" s="76" t="s">
        <v>317</v>
      </c>
      <c r="E326" s="76"/>
      <c r="F326" s="76"/>
      <c r="G326" s="76"/>
      <c r="H326" s="76"/>
      <c r="I326" s="101"/>
      <c r="J326" s="840">
        <f>Surfaces!O162+SUM(Surfaces!O145:O159)</f>
        <v>0</v>
      </c>
      <c r="K326" s="841"/>
      <c r="L326" s="103"/>
      <c r="M326" s="89"/>
      <c r="Y326" s="20"/>
    </row>
    <row r="327" spans="2:25" x14ac:dyDescent="0.3">
      <c r="B327" s="19"/>
      <c r="D327" s="76" t="s">
        <v>2315</v>
      </c>
      <c r="E327" s="76"/>
      <c r="F327" s="76"/>
      <c r="G327" s="76"/>
      <c r="H327" s="76"/>
      <c r="I327" s="101"/>
      <c r="J327" s="840">
        <f>Surfaces!O198-Surfaces!O197</f>
        <v>0</v>
      </c>
      <c r="K327" s="841"/>
      <c r="L327" s="103"/>
      <c r="M327" s="89"/>
      <c r="Y327" s="20"/>
    </row>
    <row r="328" spans="2:25" x14ac:dyDescent="0.3">
      <c r="B328" s="19"/>
      <c r="D328" s="76" t="s">
        <v>2316</v>
      </c>
      <c r="E328" s="76"/>
      <c r="F328" s="76"/>
      <c r="G328" s="76"/>
      <c r="H328" s="76"/>
      <c r="I328" s="101"/>
      <c r="J328" s="837">
        <f>IFERROR(J318,0)</f>
        <v>0</v>
      </c>
      <c r="K328" s="838"/>
      <c r="L328" s="835">
        <f>IF(J328=1,3,IF(J328&gt;=0.75,2,IF(J328&gt;=0.5,1,0)))</f>
        <v>0</v>
      </c>
      <c r="M328" s="836"/>
      <c r="Y328" s="20"/>
    </row>
    <row r="329" spans="2:25" x14ac:dyDescent="0.3">
      <c r="B329" s="19"/>
      <c r="D329" s="76" t="s">
        <v>2317</v>
      </c>
      <c r="E329" s="76"/>
      <c r="F329" s="76"/>
      <c r="G329" s="76"/>
      <c r="H329" s="76"/>
      <c r="I329" s="76"/>
      <c r="J329" s="837">
        <f>IFERROR(J319,0)</f>
        <v>0</v>
      </c>
      <c r="K329" s="838"/>
      <c r="L329" s="835">
        <f>IF(J329=1,3,IF(J329&gt;=0.75,2,IF(J329&gt;=0.5,1,0)))</f>
        <v>0</v>
      </c>
      <c r="M329" s="836"/>
      <c r="Y329" s="20"/>
    </row>
    <row r="330" spans="2:25" x14ac:dyDescent="0.3">
      <c r="B330" s="19"/>
      <c r="D330" s="76" t="s">
        <v>2318</v>
      </c>
      <c r="E330" s="76"/>
      <c r="F330" s="76"/>
      <c r="G330" s="76"/>
      <c r="H330" s="76"/>
      <c r="I330" s="76"/>
      <c r="J330" s="837">
        <f>IFERROR(J320,0)</f>
        <v>0</v>
      </c>
      <c r="K330" s="838"/>
      <c r="L330" s="835">
        <f>IF(J330=1,3,IF(J330&gt;=0.75,2,IF(J330&gt;=0.5,1,0)))</f>
        <v>0</v>
      </c>
      <c r="M330" s="836"/>
      <c r="W330" s="680"/>
      <c r="X330" s="680"/>
      <c r="Y330" s="20"/>
    </row>
    <row r="331" spans="2:25" x14ac:dyDescent="0.3">
      <c r="B331" s="19"/>
      <c r="D331" s="75" t="s">
        <v>294</v>
      </c>
      <c r="E331" s="75"/>
      <c r="F331" s="75"/>
      <c r="G331" s="75"/>
      <c r="H331" s="75"/>
      <c r="I331" s="100"/>
      <c r="J331" s="840">
        <f>Surfaces!O25</f>
        <v>0</v>
      </c>
      <c r="K331" s="841"/>
      <c r="L331" s="378"/>
      <c r="M331" s="379"/>
      <c r="V331" s="680" t="s">
        <v>3205</v>
      </c>
      <c r="W331" s="680"/>
      <c r="X331" s="680"/>
      <c r="Y331" s="681"/>
    </row>
    <row r="332" spans="2:25" x14ac:dyDescent="0.3">
      <c r="B332" s="19"/>
      <c r="D332" s="76" t="s">
        <v>716</v>
      </c>
      <c r="E332" s="76"/>
      <c r="F332" s="76"/>
      <c r="G332" s="76"/>
      <c r="H332" s="76"/>
      <c r="I332" s="76"/>
      <c r="J332" s="308"/>
      <c r="K332" s="309"/>
      <c r="L332" s="917">
        <f>IF(ISBLANK(L11),0,IF(UTILISATION_CMR1&lt;&gt;"Oui",IF(cSAU=0,0,((J325*L328)+(J326*L329)+(J327*L330))/J331),0))</f>
        <v>0</v>
      </c>
      <c r="M332" s="918"/>
      <c r="W332" s="694">
        <f>IF(cSAU=0,9,3*(SUM(J325:K327)/J331))</f>
        <v>9</v>
      </c>
      <c r="X332" s="695"/>
      <c r="Y332" s="20"/>
    </row>
    <row r="333" spans="2:25" x14ac:dyDescent="0.3">
      <c r="B333" s="19"/>
      <c r="Y333" s="20"/>
    </row>
    <row r="334" spans="2:25" x14ac:dyDescent="0.3">
      <c r="B334" s="19"/>
      <c r="Y334" s="20"/>
    </row>
    <row r="335" spans="2:25" x14ac:dyDescent="0.3">
      <c r="B335" s="19"/>
      <c r="D335" s="70" t="s">
        <v>2472</v>
      </c>
      <c r="Y335" s="20"/>
    </row>
    <row r="336" spans="2:25" x14ac:dyDescent="0.3">
      <c r="B336" s="19"/>
      <c r="D336" s="652"/>
      <c r="E336" s="653"/>
      <c r="F336" s="653"/>
      <c r="G336" s="653"/>
      <c r="H336" s="653"/>
      <c r="I336" s="653"/>
      <c r="J336" s="653"/>
      <c r="K336" s="653"/>
      <c r="L336" s="653"/>
      <c r="M336" s="653"/>
      <c r="N336" s="653"/>
      <c r="O336" s="653"/>
      <c r="P336" s="653"/>
      <c r="Q336" s="653"/>
      <c r="R336" s="653"/>
      <c r="S336" s="653"/>
      <c r="T336" s="653"/>
      <c r="U336" s="653"/>
      <c r="V336" s="653"/>
      <c r="W336" s="653"/>
      <c r="X336" s="654"/>
      <c r="Y336" s="20"/>
    </row>
    <row r="337" spans="2:25" x14ac:dyDescent="0.3">
      <c r="B337" s="19"/>
      <c r="D337" s="655"/>
      <c r="E337" s="656"/>
      <c r="F337" s="656"/>
      <c r="G337" s="656"/>
      <c r="H337" s="656"/>
      <c r="I337" s="656"/>
      <c r="J337" s="656"/>
      <c r="K337" s="656"/>
      <c r="L337" s="656"/>
      <c r="M337" s="656"/>
      <c r="N337" s="656"/>
      <c r="O337" s="656"/>
      <c r="P337" s="656"/>
      <c r="Q337" s="656"/>
      <c r="R337" s="656"/>
      <c r="S337" s="656"/>
      <c r="T337" s="656"/>
      <c r="U337" s="656"/>
      <c r="V337" s="656"/>
      <c r="W337" s="656"/>
      <c r="X337" s="657"/>
      <c r="Y337" s="20"/>
    </row>
    <row r="338" spans="2:25" x14ac:dyDescent="0.3">
      <c r="B338" s="19"/>
      <c r="D338" s="655"/>
      <c r="E338" s="656"/>
      <c r="F338" s="656"/>
      <c r="G338" s="656"/>
      <c r="H338" s="656"/>
      <c r="I338" s="656"/>
      <c r="J338" s="656"/>
      <c r="K338" s="656"/>
      <c r="L338" s="656"/>
      <c r="M338" s="656"/>
      <c r="N338" s="656"/>
      <c r="O338" s="656"/>
      <c r="P338" s="656"/>
      <c r="Q338" s="656"/>
      <c r="R338" s="656"/>
      <c r="S338" s="656"/>
      <c r="T338" s="656"/>
      <c r="U338" s="656"/>
      <c r="V338" s="656"/>
      <c r="W338" s="656"/>
      <c r="X338" s="657"/>
      <c r="Y338" s="20"/>
    </row>
    <row r="339" spans="2:25" x14ac:dyDescent="0.3">
      <c r="B339" s="19"/>
      <c r="D339" s="655"/>
      <c r="E339" s="656"/>
      <c r="F339" s="656"/>
      <c r="G339" s="656"/>
      <c r="H339" s="656"/>
      <c r="I339" s="656"/>
      <c r="J339" s="656"/>
      <c r="K339" s="656"/>
      <c r="L339" s="656"/>
      <c r="M339" s="656"/>
      <c r="N339" s="656"/>
      <c r="O339" s="656"/>
      <c r="P339" s="656"/>
      <c r="Q339" s="656"/>
      <c r="R339" s="656"/>
      <c r="S339" s="656"/>
      <c r="T339" s="656"/>
      <c r="U339" s="656"/>
      <c r="V339" s="656"/>
      <c r="W339" s="656"/>
      <c r="X339" s="657"/>
      <c r="Y339" s="20"/>
    </row>
    <row r="340" spans="2:25" x14ac:dyDescent="0.3">
      <c r="B340" s="19"/>
      <c r="D340" s="658"/>
      <c r="E340" s="659"/>
      <c r="F340" s="659"/>
      <c r="G340" s="659"/>
      <c r="H340" s="659"/>
      <c r="I340" s="659"/>
      <c r="J340" s="659"/>
      <c r="K340" s="659"/>
      <c r="L340" s="659"/>
      <c r="M340" s="659"/>
      <c r="N340" s="659"/>
      <c r="O340" s="659"/>
      <c r="P340" s="659"/>
      <c r="Q340" s="659"/>
      <c r="R340" s="659"/>
      <c r="S340" s="659"/>
      <c r="T340" s="659"/>
      <c r="U340" s="659"/>
      <c r="V340" s="659"/>
      <c r="W340" s="659"/>
      <c r="X340" s="660"/>
      <c r="Y340" s="20"/>
    </row>
    <row r="341" spans="2:25" x14ac:dyDescent="0.3">
      <c r="B341" s="19"/>
      <c r="Y341" s="20"/>
    </row>
    <row r="342" spans="2:25" ht="15" thickBot="1" x14ac:dyDescent="0.35">
      <c r="B342" s="22"/>
      <c r="C342" s="23"/>
      <c r="D342" s="23"/>
      <c r="E342" s="23"/>
      <c r="F342" s="23"/>
      <c r="G342" s="23"/>
      <c r="H342" s="23"/>
      <c r="I342" s="23"/>
      <c r="J342" s="23"/>
      <c r="K342" s="23"/>
      <c r="L342" s="23"/>
      <c r="M342" s="23"/>
      <c r="N342" s="23"/>
      <c r="O342" s="23"/>
      <c r="P342" s="23"/>
      <c r="Q342" s="23"/>
      <c r="R342" s="23"/>
      <c r="S342" s="23"/>
      <c r="T342" s="23"/>
      <c r="U342" s="23"/>
      <c r="V342" s="23"/>
      <c r="W342" s="23"/>
      <c r="X342" s="23"/>
      <c r="Y342" s="24"/>
    </row>
    <row r="345" spans="2:25" ht="15" thickBot="1" x14ac:dyDescent="0.35"/>
    <row r="346" spans="2:25" x14ac:dyDescent="0.3">
      <c r="B346" s="16"/>
      <c r="C346" s="17"/>
      <c r="D346" s="17"/>
      <c r="E346" s="17"/>
      <c r="F346" s="17"/>
      <c r="G346" s="17"/>
      <c r="H346" s="17"/>
      <c r="I346" s="17"/>
      <c r="J346" s="17"/>
      <c r="K346" s="17"/>
      <c r="L346" s="17"/>
      <c r="M346" s="17"/>
      <c r="N346" s="17"/>
      <c r="O346" s="17"/>
      <c r="P346" s="17"/>
      <c r="Q346" s="17"/>
      <c r="R346" s="17"/>
      <c r="S346" s="17"/>
      <c r="T346" s="17"/>
      <c r="U346" s="17"/>
      <c r="V346" s="17"/>
      <c r="W346" s="17"/>
      <c r="X346" s="17"/>
      <c r="Y346" s="18"/>
    </row>
    <row r="347" spans="2:25" x14ac:dyDescent="0.3">
      <c r="B347" s="19"/>
      <c r="Y347" s="20"/>
    </row>
    <row r="348" spans="2:25" x14ac:dyDescent="0.3">
      <c r="B348" s="19"/>
      <c r="C348" s="141" t="s">
        <v>2490</v>
      </c>
      <c r="Y348" s="20"/>
    </row>
    <row r="349" spans="2:25" x14ac:dyDescent="0.3">
      <c r="B349" s="19"/>
      <c r="Y349" s="20"/>
    </row>
    <row r="350" spans="2:25" x14ac:dyDescent="0.3">
      <c r="B350" s="19"/>
      <c r="C350" s="42" t="s">
        <v>2319</v>
      </c>
      <c r="L350" s="860" t="s">
        <v>318</v>
      </c>
      <c r="M350" s="860"/>
      <c r="Y350" s="20"/>
    </row>
    <row r="351" spans="2:25" x14ac:dyDescent="0.3">
      <c r="B351" s="19"/>
      <c r="D351" t="s">
        <v>2323</v>
      </c>
      <c r="L351" s="919"/>
      <c r="M351" s="920"/>
      <c r="Y351" s="20"/>
    </row>
    <row r="352" spans="2:25" x14ac:dyDescent="0.3">
      <c r="B352" s="19"/>
      <c r="D352" t="s">
        <v>319</v>
      </c>
      <c r="L352" s="919"/>
      <c r="M352" s="920"/>
      <c r="O352" s="141" t="str">
        <f>IF(L352&gt;L351,"Attention : volume recyclé et traité &gt; volume utilisé","")</f>
        <v/>
      </c>
      <c r="Y352" s="20"/>
    </row>
    <row r="353" spans="2:25" x14ac:dyDescent="0.3">
      <c r="B353" s="19"/>
      <c r="D353" t="s">
        <v>330</v>
      </c>
      <c r="L353" s="840">
        <f>Surfaces!O137-Surfaces!O197</f>
        <v>0</v>
      </c>
      <c r="M353" s="841"/>
      <c r="Y353" s="20"/>
    </row>
    <row r="354" spans="2:25" x14ac:dyDescent="0.3">
      <c r="B354" s="19"/>
      <c r="Y354" s="20"/>
    </row>
    <row r="355" spans="2:25" x14ac:dyDescent="0.3">
      <c r="B355" s="19"/>
      <c r="C355" s="42" t="s">
        <v>2320</v>
      </c>
      <c r="F355" s="118"/>
      <c r="L355" s="860" t="s">
        <v>418</v>
      </c>
      <c r="M355" s="860"/>
      <c r="Y355" s="20"/>
    </row>
    <row r="356" spans="2:25" x14ac:dyDescent="0.3">
      <c r="B356" s="19"/>
      <c r="D356" t="s">
        <v>590</v>
      </c>
      <c r="J356" s="118"/>
      <c r="L356" s="833"/>
      <c r="M356" s="834"/>
      <c r="O356" s="141" t="str">
        <f>IF(AND(L356&lt;&gt;"",OR(SUM(L356:M357)&gt;L358,L356&gt;L358)),"Attention : surfaces saisies &gt; surface concernée","")</f>
        <v/>
      </c>
      <c r="Y356" s="20"/>
    </row>
    <row r="357" spans="2:25" x14ac:dyDescent="0.3">
      <c r="B357" s="19"/>
      <c r="D357" t="s">
        <v>591</v>
      </c>
      <c r="L357" s="833"/>
      <c r="M357" s="834"/>
      <c r="O357" s="141" t="str">
        <f>IF(AND(L357&lt;&gt;"",OR(SUM(L356:M357)&gt;L358,L357&gt;L358)),"Attention : surfaces saisies &gt; surface concernée","")</f>
        <v/>
      </c>
      <c r="Y357" s="20"/>
    </row>
    <row r="358" spans="2:25" x14ac:dyDescent="0.3">
      <c r="B358" s="19"/>
      <c r="D358" t="s">
        <v>330</v>
      </c>
      <c r="L358" s="840">
        <f>Surfaces!O197</f>
        <v>0</v>
      </c>
      <c r="M358" s="841"/>
      <c r="Y358" s="20"/>
    </row>
    <row r="359" spans="2:25" x14ac:dyDescent="0.3">
      <c r="B359" s="19"/>
      <c r="Y359" s="20"/>
    </row>
    <row r="360" spans="2:25" x14ac:dyDescent="0.3">
      <c r="B360" s="19"/>
      <c r="C360" s="42"/>
      <c r="N360" s="678"/>
      <c r="O360" s="678"/>
      <c r="Y360" s="20"/>
    </row>
    <row r="361" spans="2:25" x14ac:dyDescent="0.3">
      <c r="B361" s="19"/>
      <c r="N361" s="94"/>
      <c r="O361" s="94"/>
      <c r="Y361" s="20"/>
    </row>
    <row r="362" spans="2:25" x14ac:dyDescent="0.3">
      <c r="B362" s="19"/>
      <c r="D362" s="75" t="s">
        <v>294</v>
      </c>
      <c r="E362" s="75"/>
      <c r="F362" s="75"/>
      <c r="G362" s="75"/>
      <c r="H362" s="75"/>
      <c r="I362" s="75"/>
      <c r="J362" s="40"/>
      <c r="K362" s="45"/>
      <c r="L362" s="840">
        <f>Surfaces!O25</f>
        <v>0</v>
      </c>
      <c r="M362" s="841"/>
      <c r="N362" s="678" t="s">
        <v>3204</v>
      </c>
      <c r="O362" s="678"/>
      <c r="Y362" s="20"/>
    </row>
    <row r="363" spans="2:25" x14ac:dyDescent="0.3">
      <c r="B363" s="19"/>
      <c r="D363" s="75" t="s">
        <v>2555</v>
      </c>
      <c r="E363" s="75"/>
      <c r="F363" s="75"/>
      <c r="G363" s="75"/>
      <c r="H363" s="75"/>
      <c r="I363" s="75"/>
      <c r="J363" s="75"/>
      <c r="K363" s="100"/>
      <c r="L363" s="837">
        <f>IF(L353=0,0,IFERROR(L352/L351,0))</f>
        <v>0</v>
      </c>
      <c r="M363" s="838"/>
      <c r="N363" s="835">
        <f>IF(L353=0,0,ROUNDUP(MAX(L363/10%,0),0))</f>
        <v>0</v>
      </c>
      <c r="O363" s="836"/>
      <c r="Y363" s="20"/>
    </row>
    <row r="364" spans="2:25" x14ac:dyDescent="0.3">
      <c r="B364" s="19"/>
      <c r="D364" s="76" t="s">
        <v>2321</v>
      </c>
      <c r="E364" s="76"/>
      <c r="F364" s="76"/>
      <c r="G364" s="76"/>
      <c r="H364" s="76"/>
      <c r="I364" s="76"/>
      <c r="J364" s="76"/>
      <c r="K364" s="101"/>
      <c r="L364" s="837">
        <f>IFERROR(IF(L356="",0,L356/L358),0)</f>
        <v>0</v>
      </c>
      <c r="M364" s="838"/>
      <c r="N364" s="835">
        <f>IF(AND(L351="",L352="",L356="",L357=""),0,IF(L364&lt;0.25,0,IF(AND(L364&gt;=0.25,L364&lt;0.5),2,IF(AND(L364&gt;=0.5,L364&lt;0.75),4,IF(L364&gt;=0.75,6,0)))))</f>
        <v>0</v>
      </c>
      <c r="O364" s="836"/>
      <c r="Y364" s="20"/>
    </row>
    <row r="365" spans="2:25" x14ac:dyDescent="0.3">
      <c r="B365" s="19"/>
      <c r="D365" s="76" t="s">
        <v>2322</v>
      </c>
      <c r="E365" s="76"/>
      <c r="F365" s="76"/>
      <c r="G365" s="76"/>
      <c r="H365" s="76"/>
      <c r="I365" s="76"/>
      <c r="J365" s="76"/>
      <c r="K365" s="101"/>
      <c r="L365" s="837">
        <f>IFERROR(IF(L357="",0,L357/L358),0)</f>
        <v>0</v>
      </c>
      <c r="M365" s="838"/>
      <c r="N365" s="835">
        <f>IF(AND(L351="",L352="",L356="",L357=""),0,IF(L365&lt;0.25,0,IF(AND(L365&gt;=0.25,L365&lt;0.5),1,IF(AND(L365&gt;=0.5,L365&lt;0.75),2,IF(L365&gt;=0.75,3,0)))))</f>
        <v>0</v>
      </c>
      <c r="O365" s="836"/>
      <c r="V365" s="680" t="s">
        <v>3205</v>
      </c>
      <c r="W365" s="680"/>
      <c r="X365" s="680"/>
      <c r="Y365" s="681"/>
    </row>
    <row r="366" spans="2:25" x14ac:dyDescent="0.3">
      <c r="B366" s="19"/>
      <c r="D366" s="39" t="s">
        <v>417</v>
      </c>
      <c r="E366" s="40"/>
      <c r="F366" s="40"/>
      <c r="G366" s="40"/>
      <c r="H366" s="40"/>
      <c r="I366" s="40"/>
      <c r="J366" s="40"/>
      <c r="K366" s="40"/>
      <c r="L366" s="138"/>
      <c r="M366" s="139"/>
      <c r="N366" s="858">
        <f>IF(ISBLANK(L11),0,IF(UTILISATION_CMR1="Oui",0,IF(cSAU=0,0,(N363*(L353/L362))+(N364*(L358/L362))+(N365*(L358/L362)))))</f>
        <v>0</v>
      </c>
      <c r="O366" s="859"/>
      <c r="W366" s="694">
        <f>IF(cSAU=0,10,(10*L353+6*L358)/L362)</f>
        <v>10</v>
      </c>
      <c r="X366" s="695"/>
      <c r="Y366" s="20"/>
    </row>
    <row r="367" spans="2:25" x14ac:dyDescent="0.3">
      <c r="B367" s="19"/>
      <c r="D367" s="42"/>
      <c r="L367" s="137"/>
      <c r="M367" s="137"/>
      <c r="N367" s="338"/>
      <c r="O367" s="338"/>
      <c r="W367" s="339"/>
      <c r="X367" s="339"/>
      <c r="Y367" s="20"/>
    </row>
    <row r="368" spans="2:25" x14ac:dyDescent="0.3">
      <c r="B368" s="19"/>
      <c r="D368" s="42"/>
      <c r="L368" s="137"/>
      <c r="M368" s="137"/>
      <c r="N368" s="338"/>
      <c r="O368" s="338"/>
      <c r="W368" s="339"/>
      <c r="X368" s="339"/>
      <c r="Y368" s="20"/>
    </row>
    <row r="369" spans="2:25" x14ac:dyDescent="0.3">
      <c r="B369" s="19"/>
      <c r="D369" s="70" t="s">
        <v>2472</v>
      </c>
      <c r="Y369" s="20"/>
    </row>
    <row r="370" spans="2:25" x14ac:dyDescent="0.3">
      <c r="B370" s="19"/>
      <c r="D370" s="652"/>
      <c r="E370" s="653"/>
      <c r="F370" s="653"/>
      <c r="G370" s="653"/>
      <c r="H370" s="653"/>
      <c r="I370" s="653"/>
      <c r="J370" s="653"/>
      <c r="K370" s="653"/>
      <c r="L370" s="653"/>
      <c r="M370" s="653"/>
      <c r="N370" s="653"/>
      <c r="O370" s="653"/>
      <c r="P370" s="653"/>
      <c r="Q370" s="653"/>
      <c r="R370" s="653"/>
      <c r="S370" s="653"/>
      <c r="T370" s="653"/>
      <c r="U370" s="653"/>
      <c r="V370" s="653"/>
      <c r="W370" s="653"/>
      <c r="X370" s="654"/>
      <c r="Y370" s="20"/>
    </row>
    <row r="371" spans="2:25" x14ac:dyDescent="0.3">
      <c r="B371" s="19"/>
      <c r="D371" s="655"/>
      <c r="E371" s="656"/>
      <c r="F371" s="656"/>
      <c r="G371" s="656"/>
      <c r="H371" s="656"/>
      <c r="I371" s="656"/>
      <c r="J371" s="656"/>
      <c r="K371" s="656"/>
      <c r="L371" s="656"/>
      <c r="M371" s="656"/>
      <c r="N371" s="656"/>
      <c r="O371" s="656"/>
      <c r="P371" s="656"/>
      <c r="Q371" s="656"/>
      <c r="R371" s="656"/>
      <c r="S371" s="656"/>
      <c r="T371" s="656"/>
      <c r="U371" s="656"/>
      <c r="V371" s="656"/>
      <c r="W371" s="656"/>
      <c r="X371" s="657"/>
      <c r="Y371" s="20"/>
    </row>
    <row r="372" spans="2:25" x14ac:dyDescent="0.3">
      <c r="B372" s="19"/>
      <c r="D372" s="655"/>
      <c r="E372" s="656"/>
      <c r="F372" s="656"/>
      <c r="G372" s="656"/>
      <c r="H372" s="656"/>
      <c r="I372" s="656"/>
      <c r="J372" s="656"/>
      <c r="K372" s="656"/>
      <c r="L372" s="656"/>
      <c r="M372" s="656"/>
      <c r="N372" s="656"/>
      <c r="O372" s="656"/>
      <c r="P372" s="656"/>
      <c r="Q372" s="656"/>
      <c r="R372" s="656"/>
      <c r="S372" s="656"/>
      <c r="T372" s="656"/>
      <c r="U372" s="656"/>
      <c r="V372" s="656"/>
      <c r="W372" s="656"/>
      <c r="X372" s="657"/>
      <c r="Y372" s="20"/>
    </row>
    <row r="373" spans="2:25" x14ac:dyDescent="0.3">
      <c r="B373" s="19"/>
      <c r="D373" s="655"/>
      <c r="E373" s="656"/>
      <c r="F373" s="656"/>
      <c r="G373" s="656"/>
      <c r="H373" s="656"/>
      <c r="I373" s="656"/>
      <c r="J373" s="656"/>
      <c r="K373" s="656"/>
      <c r="L373" s="656"/>
      <c r="M373" s="656"/>
      <c r="N373" s="656"/>
      <c r="O373" s="656"/>
      <c r="P373" s="656"/>
      <c r="Q373" s="656"/>
      <c r="R373" s="656"/>
      <c r="S373" s="656"/>
      <c r="T373" s="656"/>
      <c r="U373" s="656"/>
      <c r="V373" s="656"/>
      <c r="W373" s="656"/>
      <c r="X373" s="657"/>
      <c r="Y373" s="20"/>
    </row>
    <row r="374" spans="2:25" x14ac:dyDescent="0.3">
      <c r="B374" s="19"/>
      <c r="D374" s="658"/>
      <c r="E374" s="659"/>
      <c r="F374" s="659"/>
      <c r="G374" s="659"/>
      <c r="H374" s="659"/>
      <c r="I374" s="659"/>
      <c r="J374" s="659"/>
      <c r="K374" s="659"/>
      <c r="L374" s="659"/>
      <c r="M374" s="659"/>
      <c r="N374" s="659"/>
      <c r="O374" s="659"/>
      <c r="P374" s="659"/>
      <c r="Q374" s="659"/>
      <c r="R374" s="659"/>
      <c r="S374" s="659"/>
      <c r="T374" s="659"/>
      <c r="U374" s="659"/>
      <c r="V374" s="659"/>
      <c r="W374" s="659"/>
      <c r="X374" s="660"/>
      <c r="Y374" s="20"/>
    </row>
    <row r="375" spans="2:25" x14ac:dyDescent="0.3">
      <c r="B375" s="19"/>
      <c r="D375" s="42"/>
      <c r="L375" s="137"/>
      <c r="M375" s="137"/>
      <c r="N375" s="338"/>
      <c r="O375" s="338"/>
      <c r="W375" s="339"/>
      <c r="X375" s="339"/>
      <c r="Y375" s="20"/>
    </row>
    <row r="376" spans="2:25" ht="15" thickBot="1" x14ac:dyDescent="0.35">
      <c r="B376" s="22"/>
      <c r="C376" s="23"/>
      <c r="D376" s="23"/>
      <c r="E376" s="23"/>
      <c r="F376" s="23"/>
      <c r="G376" s="23"/>
      <c r="H376" s="23"/>
      <c r="I376" s="23"/>
      <c r="J376" s="23"/>
      <c r="K376" s="23"/>
      <c r="L376" s="23"/>
      <c r="M376" s="23"/>
      <c r="N376" s="23"/>
      <c r="O376" s="23"/>
      <c r="P376" s="23"/>
      <c r="Q376" s="23"/>
      <c r="R376" s="23"/>
      <c r="S376" s="23"/>
      <c r="T376" s="23"/>
      <c r="U376" s="23"/>
      <c r="V376" s="23"/>
      <c r="W376" s="23"/>
      <c r="X376" s="23"/>
      <c r="Y376" s="24"/>
    </row>
    <row r="379" spans="2:25" ht="15" thickBot="1" x14ac:dyDescent="0.35"/>
    <row r="380" spans="2:25" x14ac:dyDescent="0.3">
      <c r="B380" s="8"/>
      <c r="C380" s="9"/>
      <c r="D380" s="9"/>
      <c r="E380" s="9"/>
      <c r="F380" s="9"/>
      <c r="G380" s="9"/>
      <c r="H380" s="9"/>
      <c r="I380" s="9"/>
      <c r="J380" s="9"/>
      <c r="K380" s="9"/>
      <c r="L380" s="9"/>
      <c r="M380" s="9"/>
      <c r="N380" s="9"/>
      <c r="O380" s="9"/>
      <c r="P380" s="9"/>
      <c r="Q380" s="9"/>
      <c r="R380" s="9"/>
      <c r="S380" s="9"/>
      <c r="T380" s="9"/>
      <c r="U380" s="9"/>
      <c r="V380" s="9"/>
      <c r="W380" s="9"/>
      <c r="X380" s="9"/>
      <c r="Y380" s="10"/>
    </row>
    <row r="381" spans="2:25" x14ac:dyDescent="0.3">
      <c r="B381" s="11"/>
      <c r="Y381" s="12"/>
    </row>
    <row r="382" spans="2:25" x14ac:dyDescent="0.3">
      <c r="B382" s="11"/>
      <c r="R382" s="678" t="s">
        <v>3204</v>
      </c>
      <c r="S382" s="678"/>
      <c r="V382" s="680" t="s">
        <v>3205</v>
      </c>
      <c r="W382" s="680"/>
      <c r="X382" s="680"/>
      <c r="Y382" s="681"/>
    </row>
    <row r="383" spans="2:25" x14ac:dyDescent="0.3">
      <c r="B383" s="11"/>
      <c r="C383" s="75" t="s">
        <v>2304</v>
      </c>
      <c r="D383" s="40"/>
      <c r="E383" s="40"/>
      <c r="F383" s="40"/>
      <c r="G383" s="40"/>
      <c r="H383" s="40"/>
      <c r="I383" s="40"/>
      <c r="J383" s="40"/>
      <c r="K383" s="40"/>
      <c r="L383" s="40"/>
      <c r="M383" s="40"/>
      <c r="N383" s="40"/>
      <c r="O383" s="40"/>
      <c r="P383" s="40"/>
      <c r="Q383" s="45"/>
      <c r="R383" s="696">
        <f>P25+P55+M124+S160+R200+P242+L299+L332+N366+D266</f>
        <v>0</v>
      </c>
      <c r="S383" s="697"/>
      <c r="W383" s="694">
        <f>W25+W55+O124+W160+W200+W242+W266+W299+W332+W366</f>
        <v>63</v>
      </c>
      <c r="X383" s="695"/>
      <c r="Y383" s="12"/>
    </row>
    <row r="384" spans="2:25" x14ac:dyDescent="0.3">
      <c r="B384" s="11"/>
      <c r="Y384" s="12"/>
    </row>
    <row r="385" spans="2:25" x14ac:dyDescent="0.3">
      <c r="B385" s="11"/>
      <c r="Y385" s="12"/>
    </row>
    <row r="386" spans="2:25" x14ac:dyDescent="0.3">
      <c r="B386" s="11"/>
      <c r="C386" s="70" t="s">
        <v>2472</v>
      </c>
      <c r="Y386" s="12"/>
    </row>
    <row r="387" spans="2:25" x14ac:dyDescent="0.3">
      <c r="B387" s="11"/>
      <c r="C387" s="652"/>
      <c r="D387" s="653"/>
      <c r="E387" s="653"/>
      <c r="F387" s="653"/>
      <c r="G387" s="653"/>
      <c r="H387" s="653"/>
      <c r="I387" s="653"/>
      <c r="J387" s="653"/>
      <c r="K387" s="653"/>
      <c r="L387" s="653"/>
      <c r="M387" s="653"/>
      <c r="N387" s="653"/>
      <c r="O387" s="653"/>
      <c r="P387" s="653"/>
      <c r="Q387" s="653"/>
      <c r="R387" s="653"/>
      <c r="S387" s="653"/>
      <c r="T387" s="653"/>
      <c r="U387" s="653"/>
      <c r="V387" s="653"/>
      <c r="W387" s="654"/>
      <c r="Y387" s="12"/>
    </row>
    <row r="388" spans="2:25" x14ac:dyDescent="0.3">
      <c r="B388" s="11"/>
      <c r="C388" s="655"/>
      <c r="D388" s="656"/>
      <c r="E388" s="656"/>
      <c r="F388" s="656"/>
      <c r="G388" s="656"/>
      <c r="H388" s="656"/>
      <c r="I388" s="656"/>
      <c r="J388" s="656"/>
      <c r="K388" s="656"/>
      <c r="L388" s="656"/>
      <c r="M388" s="656"/>
      <c r="N388" s="656"/>
      <c r="O388" s="656"/>
      <c r="P388" s="656"/>
      <c r="Q388" s="656"/>
      <c r="R388" s="656"/>
      <c r="S388" s="656"/>
      <c r="T388" s="656"/>
      <c r="U388" s="656"/>
      <c r="V388" s="656"/>
      <c r="W388" s="657"/>
      <c r="Y388" s="12"/>
    </row>
    <row r="389" spans="2:25" x14ac:dyDescent="0.3">
      <c r="B389" s="11"/>
      <c r="C389" s="655"/>
      <c r="D389" s="656"/>
      <c r="E389" s="656"/>
      <c r="F389" s="656"/>
      <c r="G389" s="656"/>
      <c r="H389" s="656"/>
      <c r="I389" s="656"/>
      <c r="J389" s="656"/>
      <c r="K389" s="656"/>
      <c r="L389" s="656"/>
      <c r="M389" s="656"/>
      <c r="N389" s="656"/>
      <c r="O389" s="656"/>
      <c r="P389" s="656"/>
      <c r="Q389" s="656"/>
      <c r="R389" s="656"/>
      <c r="S389" s="656"/>
      <c r="T389" s="656"/>
      <c r="U389" s="656"/>
      <c r="V389" s="656"/>
      <c r="W389" s="657"/>
      <c r="Y389" s="12"/>
    </row>
    <row r="390" spans="2:25" x14ac:dyDescent="0.3">
      <c r="B390" s="11"/>
      <c r="C390" s="655"/>
      <c r="D390" s="656"/>
      <c r="E390" s="656"/>
      <c r="F390" s="656"/>
      <c r="G390" s="656"/>
      <c r="H390" s="656"/>
      <c r="I390" s="656"/>
      <c r="J390" s="656"/>
      <c r="K390" s="656"/>
      <c r="L390" s="656"/>
      <c r="M390" s="656"/>
      <c r="N390" s="656"/>
      <c r="O390" s="656"/>
      <c r="P390" s="656"/>
      <c r="Q390" s="656"/>
      <c r="R390" s="656"/>
      <c r="S390" s="656"/>
      <c r="T390" s="656"/>
      <c r="U390" s="656"/>
      <c r="V390" s="656"/>
      <c r="W390" s="657"/>
      <c r="Y390" s="12"/>
    </row>
    <row r="391" spans="2:25" x14ac:dyDescent="0.3">
      <c r="B391" s="11"/>
      <c r="C391" s="655"/>
      <c r="D391" s="656"/>
      <c r="E391" s="656"/>
      <c r="F391" s="656"/>
      <c r="G391" s="656"/>
      <c r="H391" s="656"/>
      <c r="I391" s="656"/>
      <c r="J391" s="656"/>
      <c r="K391" s="656"/>
      <c r="L391" s="656"/>
      <c r="M391" s="656"/>
      <c r="N391" s="656"/>
      <c r="O391" s="656"/>
      <c r="P391" s="656"/>
      <c r="Q391" s="656"/>
      <c r="R391" s="656"/>
      <c r="S391" s="656"/>
      <c r="T391" s="656"/>
      <c r="U391" s="656"/>
      <c r="V391" s="656"/>
      <c r="W391" s="657"/>
      <c r="Y391" s="12"/>
    </row>
    <row r="392" spans="2:25" x14ac:dyDescent="0.3">
      <c r="B392" s="11"/>
      <c r="C392" s="655"/>
      <c r="D392" s="656"/>
      <c r="E392" s="656"/>
      <c r="F392" s="656"/>
      <c r="G392" s="656"/>
      <c r="H392" s="656"/>
      <c r="I392" s="656"/>
      <c r="J392" s="656"/>
      <c r="K392" s="656"/>
      <c r="L392" s="656"/>
      <c r="M392" s="656"/>
      <c r="N392" s="656"/>
      <c r="O392" s="656"/>
      <c r="P392" s="656"/>
      <c r="Q392" s="656"/>
      <c r="R392" s="656"/>
      <c r="S392" s="656"/>
      <c r="T392" s="656"/>
      <c r="U392" s="656"/>
      <c r="V392" s="656"/>
      <c r="W392" s="657"/>
      <c r="Y392" s="12"/>
    </row>
    <row r="393" spans="2:25" x14ac:dyDescent="0.3">
      <c r="B393" s="11"/>
      <c r="C393" s="655"/>
      <c r="D393" s="656"/>
      <c r="E393" s="656"/>
      <c r="F393" s="656"/>
      <c r="G393" s="656"/>
      <c r="H393" s="656"/>
      <c r="I393" s="656"/>
      <c r="J393" s="656"/>
      <c r="K393" s="656"/>
      <c r="L393" s="656"/>
      <c r="M393" s="656"/>
      <c r="N393" s="656"/>
      <c r="O393" s="656"/>
      <c r="P393" s="656"/>
      <c r="Q393" s="656"/>
      <c r="R393" s="656"/>
      <c r="S393" s="656"/>
      <c r="T393" s="656"/>
      <c r="U393" s="656"/>
      <c r="V393" s="656"/>
      <c r="W393" s="657"/>
      <c r="Y393" s="12"/>
    </row>
    <row r="394" spans="2:25" x14ac:dyDescent="0.3">
      <c r="B394" s="11"/>
      <c r="C394" s="655"/>
      <c r="D394" s="656"/>
      <c r="E394" s="656"/>
      <c r="F394" s="656"/>
      <c r="G394" s="656"/>
      <c r="H394" s="656"/>
      <c r="I394" s="656"/>
      <c r="J394" s="656"/>
      <c r="K394" s="656"/>
      <c r="L394" s="656"/>
      <c r="M394" s="656"/>
      <c r="N394" s="656"/>
      <c r="O394" s="656"/>
      <c r="P394" s="656"/>
      <c r="Q394" s="656"/>
      <c r="R394" s="656"/>
      <c r="S394" s="656"/>
      <c r="T394" s="656"/>
      <c r="U394" s="656"/>
      <c r="V394" s="656"/>
      <c r="W394" s="657"/>
      <c r="Y394" s="12"/>
    </row>
    <row r="395" spans="2:25" x14ac:dyDescent="0.3">
      <c r="B395" s="11"/>
      <c r="C395" s="655"/>
      <c r="D395" s="656"/>
      <c r="E395" s="656"/>
      <c r="F395" s="656"/>
      <c r="G395" s="656"/>
      <c r="H395" s="656"/>
      <c r="I395" s="656"/>
      <c r="J395" s="656"/>
      <c r="K395" s="656"/>
      <c r="L395" s="656"/>
      <c r="M395" s="656"/>
      <c r="N395" s="656"/>
      <c r="O395" s="656"/>
      <c r="P395" s="656"/>
      <c r="Q395" s="656"/>
      <c r="R395" s="656"/>
      <c r="S395" s="656"/>
      <c r="T395" s="656"/>
      <c r="U395" s="656"/>
      <c r="V395" s="656"/>
      <c r="W395" s="657"/>
      <c r="Y395" s="12"/>
    </row>
    <row r="396" spans="2:25" x14ac:dyDescent="0.3">
      <c r="B396" s="11"/>
      <c r="C396" s="658"/>
      <c r="D396" s="659"/>
      <c r="E396" s="659"/>
      <c r="F396" s="659"/>
      <c r="G396" s="659"/>
      <c r="H396" s="659"/>
      <c r="I396" s="659"/>
      <c r="J396" s="659"/>
      <c r="K396" s="659"/>
      <c r="L396" s="659"/>
      <c r="M396" s="659"/>
      <c r="N396" s="659"/>
      <c r="O396" s="659"/>
      <c r="P396" s="659"/>
      <c r="Q396" s="659"/>
      <c r="R396" s="659"/>
      <c r="S396" s="659"/>
      <c r="T396" s="659"/>
      <c r="U396" s="659"/>
      <c r="V396" s="659"/>
      <c r="W396" s="660"/>
      <c r="Y396" s="12"/>
    </row>
    <row r="397" spans="2:25" x14ac:dyDescent="0.3">
      <c r="B397" s="11"/>
      <c r="Y397" s="12"/>
    </row>
    <row r="398" spans="2:25" ht="15" thickBot="1" x14ac:dyDescent="0.35">
      <c r="B398" s="13"/>
      <c r="C398" s="14"/>
      <c r="D398" s="14"/>
      <c r="E398" s="14"/>
      <c r="F398" s="14"/>
      <c r="G398" s="14"/>
      <c r="H398" s="14"/>
      <c r="I398" s="14"/>
      <c r="J398" s="14"/>
      <c r="K398" s="14"/>
      <c r="L398" s="14"/>
      <c r="M398" s="14"/>
      <c r="N398" s="14"/>
      <c r="O398" s="14"/>
      <c r="P398" s="14"/>
      <c r="Q398" s="14"/>
      <c r="R398" s="14"/>
      <c r="S398" s="14"/>
      <c r="T398" s="14"/>
      <c r="U398" s="14"/>
      <c r="V398" s="14"/>
      <c r="W398" s="14"/>
      <c r="X398" s="14"/>
      <c r="Y398" s="15"/>
    </row>
  </sheetData>
  <sheetProtection algorithmName="SHA-512" hashValue="n6yd9cdyX/WgHChftopNfwalIFacKCn3sG901p/CZ5Tvl8M7lcaQmzQAbHlL22Fz0a1u9EAs50vZYgUz/9V27A==" saltValue="qV3hX/s9isD055NwqqFH2w==" spinCount="100000" sheet="1" objects="1" scenarios="1"/>
  <mergeCells count="343">
    <mergeCell ref="C105:G106"/>
    <mergeCell ref="H105:I105"/>
    <mergeCell ref="H106:I106"/>
    <mergeCell ref="J105:M105"/>
    <mergeCell ref="J106:M106"/>
    <mergeCell ref="N105:O105"/>
    <mergeCell ref="N106:O106"/>
    <mergeCell ref="C88:I88"/>
    <mergeCell ref="J88:K88"/>
    <mergeCell ref="J90:K90"/>
    <mergeCell ref="L90:M90"/>
    <mergeCell ref="N90:O90"/>
    <mergeCell ref="C103:G104"/>
    <mergeCell ref="C90:I90"/>
    <mergeCell ref="C92:I92"/>
    <mergeCell ref="J92:K92"/>
    <mergeCell ref="C91:I91"/>
    <mergeCell ref="N104:O104"/>
    <mergeCell ref="L104:M104"/>
    <mergeCell ref="J99:K99"/>
    <mergeCell ref="J100:K100"/>
    <mergeCell ref="N101:O101"/>
    <mergeCell ref="N102:O102"/>
    <mergeCell ref="N103:O103"/>
    <mergeCell ref="C86:I86"/>
    <mergeCell ref="C87:I87"/>
    <mergeCell ref="AJ65:AK65"/>
    <mergeCell ref="N98:O98"/>
    <mergeCell ref="N99:O99"/>
    <mergeCell ref="N100:O100"/>
    <mergeCell ref="L99:M99"/>
    <mergeCell ref="AH70:AH71"/>
    <mergeCell ref="AH72:AH73"/>
    <mergeCell ref="AI74:AM74"/>
    <mergeCell ref="AL65:AM65"/>
    <mergeCell ref="I73:M73"/>
    <mergeCell ref="AI76:AM76"/>
    <mergeCell ref="AH77:AH80"/>
    <mergeCell ref="AH81:AH82"/>
    <mergeCell ref="AH66:AH67"/>
    <mergeCell ref="AI67:AM67"/>
    <mergeCell ref="AH68:AH69"/>
    <mergeCell ref="L101:M101"/>
    <mergeCell ref="L102:M102"/>
    <mergeCell ref="L103:M103"/>
    <mergeCell ref="AH88:AH89"/>
    <mergeCell ref="AH90:AH91"/>
    <mergeCell ref="AH92:AH93"/>
    <mergeCell ref="R101:X102"/>
    <mergeCell ref="R103:Y104"/>
    <mergeCell ref="AH83:AH84"/>
    <mergeCell ref="P103:Q103"/>
    <mergeCell ref="P101:Q101"/>
    <mergeCell ref="P102:Q102"/>
    <mergeCell ref="P98:Q98"/>
    <mergeCell ref="P99:Q99"/>
    <mergeCell ref="P100:Q100"/>
    <mergeCell ref="C387:W396"/>
    <mergeCell ref="J329:K329"/>
    <mergeCell ref="J330:K330"/>
    <mergeCell ref="L328:M328"/>
    <mergeCell ref="L329:M329"/>
    <mergeCell ref="L330:M330"/>
    <mergeCell ref="D336:X340"/>
    <mergeCell ref="D370:X374"/>
    <mergeCell ref="R383:S383"/>
    <mergeCell ref="W383:X383"/>
    <mergeCell ref="W366:X366"/>
    <mergeCell ref="L353:M353"/>
    <mergeCell ref="J328:K328"/>
    <mergeCell ref="L332:M332"/>
    <mergeCell ref="W330:X330"/>
    <mergeCell ref="W332:X332"/>
    <mergeCell ref="L351:M351"/>
    <mergeCell ref="L352:M352"/>
    <mergeCell ref="L350:M350"/>
    <mergeCell ref="L356:M356"/>
    <mergeCell ref="N366:O366"/>
    <mergeCell ref="L355:M355"/>
    <mergeCell ref="J331:K331"/>
    <mergeCell ref="V331:Y331"/>
    <mergeCell ref="R181:S181"/>
    <mergeCell ref="R186:S186"/>
    <mergeCell ref="R183:S183"/>
    <mergeCell ref="R182:S182"/>
    <mergeCell ref="R184:S184"/>
    <mergeCell ref="J318:K318"/>
    <mergeCell ref="J288:K288"/>
    <mergeCell ref="L323:M323"/>
    <mergeCell ref="J326:K326"/>
    <mergeCell ref="R198:S198"/>
    <mergeCell ref="P239:Q239"/>
    <mergeCell ref="J290:K290"/>
    <mergeCell ref="J284:K284"/>
    <mergeCell ref="J285:K285"/>
    <mergeCell ref="J289:K289"/>
    <mergeCell ref="L285:M285"/>
    <mergeCell ref="J319:K319"/>
    <mergeCell ref="O280:T280"/>
    <mergeCell ref="D204:X208"/>
    <mergeCell ref="P235:Q235"/>
    <mergeCell ref="W200:X200"/>
    <mergeCell ref="W240:X240"/>
    <mergeCell ref="W242:X242"/>
    <mergeCell ref="N232:O232"/>
    <mergeCell ref="C164:W168"/>
    <mergeCell ref="K123:L123"/>
    <mergeCell ref="M124:N124"/>
    <mergeCell ref="Q148:R148"/>
    <mergeCell ref="S148:T148"/>
    <mergeCell ref="U146:V146"/>
    <mergeCell ref="W25:X25"/>
    <mergeCell ref="W55:X55"/>
    <mergeCell ref="O119:P119"/>
    <mergeCell ref="W160:X160"/>
    <mergeCell ref="N83:O83"/>
    <mergeCell ref="P83:Q83"/>
    <mergeCell ref="R109:S109"/>
    <mergeCell ref="R110:S110"/>
    <mergeCell ref="R111:S111"/>
    <mergeCell ref="C48:U49"/>
    <mergeCell ref="I74:M74"/>
    <mergeCell ref="C83:I83"/>
    <mergeCell ref="C84:I84"/>
    <mergeCell ref="J86:K86"/>
    <mergeCell ref="H101:I101"/>
    <mergeCell ref="H102:I102"/>
    <mergeCell ref="H103:I103"/>
    <mergeCell ref="H104:I104"/>
    <mergeCell ref="S160:T160"/>
    <mergeCell ref="U147:V147"/>
    <mergeCell ref="S159:T159"/>
    <mergeCell ref="Q159:R159"/>
    <mergeCell ref="Q158:R158"/>
    <mergeCell ref="S146:T146"/>
    <mergeCell ref="S157:T157"/>
    <mergeCell ref="U148:V148"/>
    <mergeCell ref="Q149:R149"/>
    <mergeCell ref="S149:T149"/>
    <mergeCell ref="S147:T147"/>
    <mergeCell ref="Q156:R156"/>
    <mergeCell ref="Q155:R155"/>
    <mergeCell ref="Q147:R147"/>
    <mergeCell ref="Q146:R146"/>
    <mergeCell ref="Q153:R153"/>
    <mergeCell ref="Q154:R154"/>
    <mergeCell ref="D14:V18"/>
    <mergeCell ref="P9:Q9"/>
    <mergeCell ref="S10:T10"/>
    <mergeCell ref="C46:I46"/>
    <mergeCell ref="C45:I45"/>
    <mergeCell ref="M46:N46"/>
    <mergeCell ref="M45:N45"/>
    <mergeCell ref="M22:N22"/>
    <mergeCell ref="P22:Q22"/>
    <mergeCell ref="M23:N23"/>
    <mergeCell ref="P23:Q23"/>
    <mergeCell ref="S11:V11"/>
    <mergeCell ref="L11:N11"/>
    <mergeCell ref="P25:Q25"/>
    <mergeCell ref="M44:N44"/>
    <mergeCell ref="M39:N39"/>
    <mergeCell ref="P21:Q21"/>
    <mergeCell ref="M43:N43"/>
    <mergeCell ref="M110:N110"/>
    <mergeCell ref="J83:K83"/>
    <mergeCell ref="J84:K84"/>
    <mergeCell ref="L84:M84"/>
    <mergeCell ref="N84:O84"/>
    <mergeCell ref="P84:Q84"/>
    <mergeCell ref="L83:M83"/>
    <mergeCell ref="L86:M86"/>
    <mergeCell ref="N86:O86"/>
    <mergeCell ref="P86:Q86"/>
    <mergeCell ref="J87:K87"/>
    <mergeCell ref="L87:M87"/>
    <mergeCell ref="N87:O87"/>
    <mergeCell ref="P87:Q87"/>
    <mergeCell ref="J91:K91"/>
    <mergeCell ref="L91:M91"/>
    <mergeCell ref="N91:O91"/>
    <mergeCell ref="P91:Q91"/>
    <mergeCell ref="P90:Q90"/>
    <mergeCell ref="P105:Q105"/>
    <mergeCell ref="P106:Q106"/>
    <mergeCell ref="J104:K104"/>
    <mergeCell ref="J101:K101"/>
    <mergeCell ref="J102:K102"/>
    <mergeCell ref="W266:X266"/>
    <mergeCell ref="W299:X299"/>
    <mergeCell ref="L273:M273"/>
    <mergeCell ref="N237:O237"/>
    <mergeCell ref="C40:Q41"/>
    <mergeCell ref="D28:V32"/>
    <mergeCell ref="T108:V108"/>
    <mergeCell ref="H115:I115"/>
    <mergeCell ref="M115:N115"/>
    <mergeCell ref="R115:S115"/>
    <mergeCell ref="K118:L118"/>
    <mergeCell ref="H112:I112"/>
    <mergeCell ref="M112:N112"/>
    <mergeCell ref="M108:N108"/>
    <mergeCell ref="J108:L108"/>
    <mergeCell ref="J109:L112"/>
    <mergeCell ref="O108:Q108"/>
    <mergeCell ref="O109:Q112"/>
    <mergeCell ref="H109:I109"/>
    <mergeCell ref="M109:N109"/>
    <mergeCell ref="H110:I110"/>
    <mergeCell ref="L88:M88"/>
    <mergeCell ref="N88:O88"/>
    <mergeCell ref="P88:Q88"/>
    <mergeCell ref="J279:K279"/>
    <mergeCell ref="J280:K280"/>
    <mergeCell ref="P240:Q240"/>
    <mergeCell ref="P242:Q242"/>
    <mergeCell ref="J325:K325"/>
    <mergeCell ref="J317:K317"/>
    <mergeCell ref="L299:M299"/>
    <mergeCell ref="J294:K294"/>
    <mergeCell ref="J293:K293"/>
    <mergeCell ref="L298:M298"/>
    <mergeCell ref="J283:K283"/>
    <mergeCell ref="J295:K295"/>
    <mergeCell ref="J296:K296"/>
    <mergeCell ref="J297:K297"/>
    <mergeCell ref="L293:M293"/>
    <mergeCell ref="L294:M294"/>
    <mergeCell ref="R175:S175"/>
    <mergeCell ref="AB4:AC4"/>
    <mergeCell ref="L290:M290"/>
    <mergeCell ref="J252:K252"/>
    <mergeCell ref="C257:W261"/>
    <mergeCell ref="J275:K275"/>
    <mergeCell ref="J278:K278"/>
    <mergeCell ref="N239:O239"/>
    <mergeCell ref="D266:E266"/>
    <mergeCell ref="J253:K253"/>
    <mergeCell ref="L275:M275"/>
    <mergeCell ref="L280:M280"/>
    <mergeCell ref="N231:O231"/>
    <mergeCell ref="D264:E264"/>
    <mergeCell ref="D265:E265"/>
    <mergeCell ref="N241:O241"/>
    <mergeCell ref="O124:P124"/>
    <mergeCell ref="R108:S108"/>
    <mergeCell ref="O285:T285"/>
    <mergeCell ref="N238:O238"/>
    <mergeCell ref="R188:S188"/>
    <mergeCell ref="R189:S189"/>
    <mergeCell ref="R194:S194"/>
    <mergeCell ref="N240:O240"/>
    <mergeCell ref="R187:S187"/>
    <mergeCell ref="N365:O365"/>
    <mergeCell ref="N364:O364"/>
    <mergeCell ref="N363:O363"/>
    <mergeCell ref="L357:M357"/>
    <mergeCell ref="L363:M363"/>
    <mergeCell ref="L364:M364"/>
    <mergeCell ref="L365:M365"/>
    <mergeCell ref="O290:T290"/>
    <mergeCell ref="L358:M358"/>
    <mergeCell ref="L362:M362"/>
    <mergeCell ref="L295:M295"/>
    <mergeCell ref="L296:M296"/>
    <mergeCell ref="L297:M297"/>
    <mergeCell ref="D303:X307"/>
    <mergeCell ref="J320:K320"/>
    <mergeCell ref="J327:K327"/>
    <mergeCell ref="N360:O360"/>
    <mergeCell ref="R200:S200"/>
    <mergeCell ref="L274:M274"/>
    <mergeCell ref="V298:Y298"/>
    <mergeCell ref="V365:Y365"/>
    <mergeCell ref="C315:T316"/>
    <mergeCell ref="C224:X228"/>
    <mergeCell ref="K119:L119"/>
    <mergeCell ref="P92:Q92"/>
    <mergeCell ref="U149:V149"/>
    <mergeCell ref="L92:M92"/>
    <mergeCell ref="D128:X137"/>
    <mergeCell ref="J103:K103"/>
    <mergeCell ref="H108:I108"/>
    <mergeCell ref="L98:M98"/>
    <mergeCell ref="L100:M100"/>
    <mergeCell ref="J98:K98"/>
    <mergeCell ref="C98:I98"/>
    <mergeCell ref="K120:L120"/>
    <mergeCell ref="K121:L121"/>
    <mergeCell ref="P104:Q104"/>
    <mergeCell ref="H99:I99"/>
    <mergeCell ref="H100:I100"/>
    <mergeCell ref="C99:G100"/>
    <mergeCell ref="C101:G102"/>
    <mergeCell ref="M111:N111"/>
    <mergeCell ref="H111:I111"/>
    <mergeCell ref="T109:V112"/>
    <mergeCell ref="R112:S112"/>
    <mergeCell ref="M119:N119"/>
    <mergeCell ref="M120:N120"/>
    <mergeCell ref="M53:N53"/>
    <mergeCell ref="M54:N54"/>
    <mergeCell ref="M55:N55"/>
    <mergeCell ref="P55:Q55"/>
    <mergeCell ref="P52:Q52"/>
    <mergeCell ref="P82:Q82"/>
    <mergeCell ref="C82:I82"/>
    <mergeCell ref="D55:L55"/>
    <mergeCell ref="D54:L54"/>
    <mergeCell ref="D53:L53"/>
    <mergeCell ref="J82:K82"/>
    <mergeCell ref="L82:M82"/>
    <mergeCell ref="N82:O82"/>
    <mergeCell ref="D59:X63"/>
    <mergeCell ref="I76:N76"/>
    <mergeCell ref="V74:W74"/>
    <mergeCell ref="I75:M75"/>
    <mergeCell ref="I77:N77"/>
    <mergeCell ref="I78:N78"/>
    <mergeCell ref="V382:Y382"/>
    <mergeCell ref="L324:M324"/>
    <mergeCell ref="N362:O362"/>
    <mergeCell ref="R382:S382"/>
    <mergeCell ref="V24:Y24"/>
    <mergeCell ref="V54:Y54"/>
    <mergeCell ref="P54:Q54"/>
    <mergeCell ref="V159:Y159"/>
    <mergeCell ref="V199:Y199"/>
    <mergeCell ref="P236:Q236"/>
    <mergeCell ref="V241:Y241"/>
    <mergeCell ref="V265:Y265"/>
    <mergeCell ref="R177:S177"/>
    <mergeCell ref="R199:S199"/>
    <mergeCell ref="R196:S196"/>
    <mergeCell ref="R197:S197"/>
    <mergeCell ref="C191:X192"/>
    <mergeCell ref="C179:Q180"/>
    <mergeCell ref="N92:O92"/>
    <mergeCell ref="K122:L122"/>
    <mergeCell ref="M121:N121"/>
    <mergeCell ref="M118:N118"/>
    <mergeCell ref="O121:P121"/>
    <mergeCell ref="O120:P120"/>
  </mergeCells>
  <conditionalFormatting sqref="I75:M75">
    <cfRule type="expression" dxfId="53" priority="2">
      <formula>$N$75="Ne pas renseigner"</formula>
    </cfRule>
  </conditionalFormatting>
  <conditionalFormatting sqref="M318:Q318">
    <cfRule type="expression" dxfId="52" priority="19">
      <formula>$M$318&lt;&gt;""</formula>
    </cfRule>
  </conditionalFormatting>
  <conditionalFormatting sqref="M319:T319">
    <cfRule type="expression" dxfId="51" priority="18">
      <formula>$M$319&lt;&gt;""</formula>
    </cfRule>
  </conditionalFormatting>
  <conditionalFormatting sqref="M320:T320">
    <cfRule type="expression" dxfId="50" priority="17">
      <formula>$M$320&lt;&gt;""</formula>
    </cfRule>
  </conditionalFormatting>
  <conditionalFormatting sqref="N75">
    <cfRule type="expression" dxfId="49" priority="1">
      <formula>$N$75="Ne pas renseigner"</formula>
    </cfRule>
  </conditionalFormatting>
  <conditionalFormatting sqref="O352:S352">
    <cfRule type="expression" dxfId="48" priority="16">
      <formula>$O$352&lt;&gt;""</formula>
    </cfRule>
  </conditionalFormatting>
  <conditionalFormatting sqref="O356:S356">
    <cfRule type="expression" dxfId="47" priority="15">
      <formula>$O$356&lt;&gt;""</formula>
    </cfRule>
  </conditionalFormatting>
  <conditionalFormatting sqref="O357:S357">
    <cfRule type="expression" dxfId="46" priority="14">
      <formula>$O$357&lt;&gt;""</formula>
    </cfRule>
  </conditionalFormatting>
  <conditionalFormatting sqref="O280:T280">
    <cfRule type="expression" dxfId="45" priority="24">
      <formula>$O$280="ATTENTION : Problème de cohérence des données"</formula>
    </cfRule>
  </conditionalFormatting>
  <conditionalFormatting sqref="O285:T285">
    <cfRule type="expression" dxfId="44" priority="28">
      <formula>$O$285="ATTENTION : Problème de cohérence des données"</formula>
    </cfRule>
  </conditionalFormatting>
  <conditionalFormatting sqref="O290:T290">
    <cfRule type="expression" dxfId="43" priority="27">
      <formula>$O$290="ATTENTION : Problème de cohérence des données"</formula>
    </cfRule>
  </conditionalFormatting>
  <conditionalFormatting sqref="P44:S44">
    <cfRule type="expression" dxfId="42" priority="13">
      <formula>$P$44&lt;&gt;""</formula>
    </cfRule>
  </conditionalFormatting>
  <conditionalFormatting sqref="P45:U45">
    <cfRule type="expression" dxfId="41" priority="30">
      <formula>$P$45&lt;&gt;""</formula>
    </cfRule>
  </conditionalFormatting>
  <conditionalFormatting sqref="P46:U46">
    <cfRule type="expression" dxfId="40" priority="32">
      <formula>$P$46&lt;&gt;""</formula>
    </cfRule>
  </conditionalFormatting>
  <conditionalFormatting sqref="R182:S182">
    <cfRule type="expression" dxfId="39" priority="23">
      <formula>$R$181="Non"</formula>
    </cfRule>
  </conditionalFormatting>
  <conditionalFormatting sqref="R187:S187">
    <cfRule type="expression" dxfId="38" priority="22">
      <formula>$R$186="Non"</formula>
    </cfRule>
  </conditionalFormatting>
  <conditionalFormatting sqref="R231:V231">
    <cfRule type="expression" dxfId="37" priority="21">
      <formula>$R$231&lt;&gt;""</formula>
    </cfRule>
  </conditionalFormatting>
  <conditionalFormatting sqref="R232:V232">
    <cfRule type="expression" dxfId="36" priority="20">
      <formula>$R$232&lt;&gt;""</formula>
    </cfRule>
  </conditionalFormatting>
  <conditionalFormatting sqref="S11:V11">
    <cfRule type="expression" dxfId="35" priority="29">
      <formula>$S$11&lt;&gt;""</formula>
    </cfRule>
  </conditionalFormatting>
  <dataValidations count="6">
    <dataValidation type="list" allowBlank="1" showInputMessage="1" showErrorMessage="1" sqref="R177:S177 R175:S175 R181:S181 R186:S186 M22:N23 H115 M115 R115" xr:uid="{00000000-0002-0000-0600-000000000000}">
      <formula1>"Oui,Non"</formula1>
    </dataValidation>
    <dataValidation type="list" allowBlank="1" showInputMessage="1" showErrorMessage="1" sqref="L11" xr:uid="{00000000-0002-0000-0600-000001000000}">
      <formula1>"Oui, Oui avec dérogation,Non"</formula1>
    </dataValidation>
    <dataValidation type="whole" allowBlank="1" showInputMessage="1" showErrorMessage="1" sqref="J253:K253" xr:uid="{00000000-0002-0000-0600-000002000000}">
      <formula1>0</formula1>
      <formula2>99999</formula2>
    </dataValidation>
    <dataValidation type="whole" allowBlank="1" showInputMessage="1" showErrorMessage="1" sqref="J275:K275 J279:K280 J284:K285 J289:K290" xr:uid="{00000000-0002-0000-0600-000003000000}">
      <formula1>0</formula1>
      <formula2>10000</formula2>
    </dataValidation>
    <dataValidation type="list" allowBlank="1" showInputMessage="1" showErrorMessage="1" sqref="V74:W74" xr:uid="{00000000-0002-0000-0600-000004000000}">
      <formula1>"1,2,3"</formula1>
    </dataValidation>
    <dataValidation type="list" allowBlank="1" showInputMessage="1" showErrorMessage="1" sqref="I75:M75" xr:uid="{7114C4D1-5B2B-46BC-B9B0-3E087A25179D}">
      <formula1>IF(OR($I$74="Ardèche",$I$74="Drôme"),LstNordSud,IF(OR($I$74="Rhône",$I$74="Saône-et-Loire"),LstAOCBeaujolais,""))</formula1>
    </dataValidation>
  </dataValidations>
  <pageMargins left="0.7" right="0.7" top="0.75" bottom="0.75" header="0.3" footer="0.3"/>
  <pageSetup paperSize="9" scale="44"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14CADCF-08FA-4A41-8BF7-5AF6F168E7D7}">
          <x14:formula1>
            <xm:f>Listes!$AX$4:$AX$32</xm:f>
          </x14:formula1>
          <xm:sqref>I77:N77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0070C0"/>
    <pageSetUpPr fitToPage="1"/>
  </sheetPr>
  <dimension ref="A1:AL385"/>
  <sheetViews>
    <sheetView showGridLines="0" zoomScaleNormal="100" workbookViewId="0">
      <pane ySplit="5" topLeftCell="A6" activePane="bottomLeft" state="frozen"/>
      <selection activeCell="AA19" sqref="AA19"/>
      <selection pane="bottomLeft" activeCell="P12" sqref="P12:Q15"/>
    </sheetView>
  </sheetViews>
  <sheetFormatPr baseColWidth="10" defaultColWidth="9.109375" defaultRowHeight="14.4" x14ac:dyDescent="0.3"/>
  <cols>
    <col min="27" max="27" width="9.109375" customWidth="1"/>
    <col min="28" max="28" width="9.109375" hidden="1" customWidth="1"/>
    <col min="29" max="29" width="10.109375" hidden="1" customWidth="1"/>
    <col min="30" max="30" width="9.109375" hidden="1" customWidth="1"/>
    <col min="31" max="31" width="11.109375" hidden="1" customWidth="1"/>
    <col min="32" max="34" width="9.109375" hidden="1" customWidth="1"/>
    <col min="35" max="35" width="6.88671875" hidden="1" customWidth="1"/>
    <col min="36" max="36" width="4.88671875" hidden="1" customWidth="1"/>
    <col min="37" max="38" width="14.44140625" hidden="1" customWidth="1"/>
    <col min="39" max="39" width="6.109375" customWidth="1"/>
    <col min="40" max="40" width="7" customWidth="1"/>
    <col min="41" max="45" width="9.109375" customWidth="1"/>
  </cols>
  <sheetData>
    <row r="1" spans="1:26" x14ac:dyDescent="0.3">
      <c r="A1" s="26"/>
      <c r="B1" s="26"/>
      <c r="C1" s="26"/>
      <c r="D1" s="26"/>
      <c r="E1" s="26"/>
      <c r="F1" s="26"/>
      <c r="G1" s="26"/>
      <c r="H1" s="26"/>
      <c r="I1" s="26"/>
      <c r="J1" s="26"/>
      <c r="K1" s="72"/>
      <c r="L1" s="72"/>
      <c r="M1" s="72"/>
      <c r="N1" s="72"/>
      <c r="O1" s="26"/>
      <c r="P1" s="26"/>
      <c r="Q1" s="26"/>
      <c r="R1" s="26"/>
      <c r="S1" s="74" t="s">
        <v>701</v>
      </c>
      <c r="T1" s="26"/>
      <c r="U1" s="26"/>
      <c r="V1" s="26"/>
      <c r="W1" s="26"/>
      <c r="X1" s="26"/>
      <c r="Y1" s="26"/>
      <c r="Z1" s="26"/>
    </row>
    <row r="2" spans="1:26" x14ac:dyDescent="0.3">
      <c r="A2" s="26"/>
      <c r="B2" s="26"/>
      <c r="C2" s="26"/>
      <c r="D2" s="26"/>
      <c r="E2" s="26"/>
      <c r="F2" s="26"/>
      <c r="G2" s="26"/>
      <c r="H2" s="26"/>
      <c r="I2" s="26"/>
      <c r="J2" s="26"/>
      <c r="K2" s="72"/>
      <c r="L2" s="72"/>
      <c r="M2" s="72"/>
      <c r="N2" s="72"/>
      <c r="O2" s="26"/>
      <c r="P2" s="26"/>
      <c r="Q2" s="26"/>
      <c r="R2" s="26"/>
      <c r="S2" s="74" t="s">
        <v>702</v>
      </c>
      <c r="T2" s="26"/>
      <c r="U2" s="26"/>
      <c r="V2" s="26"/>
      <c r="W2" s="26"/>
      <c r="X2" s="26"/>
      <c r="Y2" s="26"/>
      <c r="Z2" s="26"/>
    </row>
    <row r="3" spans="1:26" x14ac:dyDescent="0.3">
      <c r="A3" s="26"/>
      <c r="B3" s="26"/>
      <c r="C3" s="26"/>
      <c r="D3" s="26"/>
      <c r="E3" s="26"/>
      <c r="F3" s="26"/>
      <c r="G3" s="26"/>
      <c r="H3" s="26"/>
      <c r="I3" s="26"/>
      <c r="J3" s="26"/>
      <c r="K3" s="72"/>
      <c r="L3" s="72"/>
      <c r="M3" s="72"/>
      <c r="N3" s="72"/>
      <c r="O3" s="26"/>
      <c r="P3" s="26"/>
      <c r="Q3" s="26"/>
      <c r="R3" s="26"/>
      <c r="S3" s="73" t="s">
        <v>592</v>
      </c>
      <c r="T3" s="26"/>
      <c r="U3" s="26"/>
      <c r="V3" s="26"/>
      <c r="W3" s="26"/>
      <c r="X3" s="26"/>
      <c r="Y3" s="26"/>
      <c r="Z3" s="26"/>
    </row>
    <row r="4" spans="1:26" x14ac:dyDescent="0.3">
      <c r="A4" s="26"/>
      <c r="B4" s="26"/>
      <c r="C4" s="26"/>
      <c r="D4" s="26"/>
      <c r="E4" s="26"/>
      <c r="F4" s="26"/>
      <c r="G4" s="26"/>
      <c r="H4" s="26"/>
      <c r="I4" s="26"/>
      <c r="J4" s="26"/>
      <c r="K4" s="26"/>
      <c r="L4" s="26"/>
      <c r="M4" s="26"/>
      <c r="N4" s="26"/>
      <c r="O4" s="26"/>
      <c r="P4" s="26"/>
      <c r="Q4" s="26"/>
      <c r="R4" s="26"/>
      <c r="S4" s="26"/>
      <c r="T4" s="26"/>
      <c r="U4" s="26"/>
      <c r="V4" s="26"/>
      <c r="W4" s="26"/>
      <c r="X4" s="26"/>
      <c r="Y4" s="661" t="str">
        <f>Accueil!I6</f>
        <v>Version 1.15</v>
      </c>
      <c r="Z4" s="661"/>
    </row>
    <row r="5" spans="1:26" x14ac:dyDescent="0.3">
      <c r="A5" s="26"/>
      <c r="B5" s="26"/>
      <c r="C5" s="26"/>
      <c r="D5" s="26"/>
      <c r="E5" s="26"/>
      <c r="F5" s="26"/>
      <c r="G5" s="26"/>
      <c r="H5" s="26"/>
      <c r="I5" s="26"/>
      <c r="J5" s="26"/>
      <c r="K5" s="26"/>
      <c r="L5" s="26"/>
      <c r="M5" s="26"/>
      <c r="N5" s="26"/>
      <c r="O5" s="26"/>
      <c r="P5" s="26"/>
      <c r="Q5" s="26"/>
      <c r="R5" s="26"/>
      <c r="S5" s="26"/>
      <c r="T5" s="26"/>
      <c r="U5" s="26"/>
      <c r="V5" s="26"/>
      <c r="W5" s="26"/>
      <c r="X5" s="26"/>
      <c r="Y5" s="26"/>
      <c r="Z5" s="26"/>
    </row>
    <row r="7" spans="1:26" ht="15" thickBot="1" x14ac:dyDescent="0.35"/>
    <row r="8" spans="1:26" x14ac:dyDescent="0.3">
      <c r="B8" s="16"/>
      <c r="C8" s="17"/>
      <c r="D8" s="17"/>
      <c r="E8" s="17"/>
      <c r="F8" s="17"/>
      <c r="G8" s="17"/>
      <c r="H8" s="17"/>
      <c r="I8" s="17"/>
      <c r="J8" s="17"/>
      <c r="K8" s="17"/>
      <c r="L8" s="17"/>
      <c r="M8" s="17"/>
      <c r="N8" s="17"/>
      <c r="O8" s="17"/>
      <c r="P8" s="17"/>
      <c r="Q8" s="17"/>
      <c r="R8" s="17"/>
      <c r="S8" s="17"/>
      <c r="T8" s="17"/>
      <c r="U8" s="17"/>
      <c r="V8" s="17"/>
      <c r="W8" s="17"/>
      <c r="X8" s="17"/>
      <c r="Y8" s="18"/>
    </row>
    <row r="9" spans="1:26" ht="16.5" customHeight="1" x14ac:dyDescent="0.3">
      <c r="B9" s="19"/>
      <c r="Y9" s="20"/>
    </row>
    <row r="10" spans="1:26" x14ac:dyDescent="0.3">
      <c r="B10" s="19"/>
      <c r="C10" s="143" t="s">
        <v>436</v>
      </c>
      <c r="D10" s="123"/>
      <c r="E10" s="123"/>
      <c r="F10" s="123"/>
      <c r="G10" s="123"/>
      <c r="H10" s="123"/>
      <c r="I10" s="123"/>
      <c r="J10" s="123"/>
      <c r="K10" s="123"/>
      <c r="L10" s="123"/>
      <c r="M10" s="123"/>
      <c r="N10" s="123"/>
      <c r="O10" s="123"/>
      <c r="P10" s="965" t="s">
        <v>326</v>
      </c>
      <c r="Q10" s="965"/>
      <c r="R10" s="965"/>
      <c r="S10" s="965"/>
      <c r="T10" s="965"/>
      <c r="U10" s="965"/>
      <c r="V10" s="965"/>
      <c r="W10" s="965"/>
      <c r="X10" s="147"/>
      <c r="Y10" s="20"/>
    </row>
    <row r="11" spans="1:26" x14ac:dyDescent="0.3">
      <c r="B11" s="19"/>
      <c r="C11" s="144"/>
      <c r="D11" s="70" t="s">
        <v>437</v>
      </c>
      <c r="P11" s="850" t="str">
        <f>TEXT(cCampagneN,"0000-00")</f>
        <v>N</v>
      </c>
      <c r="Q11" s="850"/>
      <c r="S11" s="850" t="str">
        <f>cCampagneN1</f>
        <v>N-1</v>
      </c>
      <c r="T11" s="850"/>
      <c r="V11" s="850" t="str">
        <f>CCampagneN2</f>
        <v>N-2</v>
      </c>
      <c r="W11" s="850"/>
      <c r="X11" s="145"/>
      <c r="Y11" s="20"/>
    </row>
    <row r="12" spans="1:26" x14ac:dyDescent="0.3">
      <c r="B12" s="19"/>
      <c r="C12" s="144"/>
      <c r="D12" s="65"/>
      <c r="E12" s="47" t="s">
        <v>2378</v>
      </c>
      <c r="F12" s="47"/>
      <c r="G12" s="47"/>
      <c r="H12" s="47"/>
      <c r="I12" s="47"/>
      <c r="J12" s="47"/>
      <c r="K12" s="47"/>
      <c r="L12" s="47"/>
      <c r="M12" s="47"/>
      <c r="N12" s="47"/>
      <c r="O12" s="43"/>
      <c r="P12" s="747"/>
      <c r="Q12" s="748"/>
      <c r="S12" s="747"/>
      <c r="T12" s="748"/>
      <c r="V12" s="747"/>
      <c r="W12" s="748"/>
      <c r="X12" s="145"/>
      <c r="Y12" s="20"/>
    </row>
    <row r="13" spans="1:26" x14ac:dyDescent="0.3">
      <c r="B13" s="19"/>
      <c r="C13" s="144"/>
      <c r="D13" s="65"/>
      <c r="E13" s="47" t="s">
        <v>2324</v>
      </c>
      <c r="F13" s="47"/>
      <c r="G13" s="47"/>
      <c r="H13" s="47"/>
      <c r="I13" s="47"/>
      <c r="J13" s="47"/>
      <c r="K13" s="47"/>
      <c r="L13" s="47"/>
      <c r="M13" s="47"/>
      <c r="N13" s="47"/>
      <c r="O13" s="43"/>
      <c r="P13" s="747"/>
      <c r="Q13" s="748"/>
      <c r="S13" s="747"/>
      <c r="T13" s="748"/>
      <c r="V13" s="747"/>
      <c r="W13" s="748"/>
      <c r="X13" s="145"/>
      <c r="Y13" s="20"/>
    </row>
    <row r="14" spans="1:26" x14ac:dyDescent="0.3">
      <c r="B14" s="19"/>
      <c r="C14" s="144"/>
      <c r="D14" s="65"/>
      <c r="E14" s="48" t="s">
        <v>2325</v>
      </c>
      <c r="F14" s="48"/>
      <c r="G14" s="48"/>
      <c r="H14" s="48"/>
      <c r="I14" s="48"/>
      <c r="J14" s="48"/>
      <c r="K14" s="48"/>
      <c r="L14" s="48"/>
      <c r="M14" s="48"/>
      <c r="N14" s="48"/>
      <c r="O14" s="44"/>
      <c r="P14" s="747"/>
      <c r="Q14" s="748"/>
      <c r="S14" s="747"/>
      <c r="T14" s="748"/>
      <c r="V14" s="747"/>
      <c r="W14" s="748"/>
      <c r="X14" s="145"/>
      <c r="Y14" s="20"/>
    </row>
    <row r="15" spans="1:26" x14ac:dyDescent="0.3">
      <c r="B15" s="19"/>
      <c r="C15" s="144"/>
      <c r="E15" s="48" t="s">
        <v>2326</v>
      </c>
      <c r="F15" s="48"/>
      <c r="G15" s="48"/>
      <c r="H15" s="48"/>
      <c r="I15" s="48"/>
      <c r="J15" s="48"/>
      <c r="K15" s="48"/>
      <c r="L15" s="48"/>
      <c r="M15" s="48"/>
      <c r="N15" s="48"/>
      <c r="O15" s="44"/>
      <c r="P15" s="747"/>
      <c r="Q15" s="748"/>
      <c r="S15" s="747"/>
      <c r="T15" s="748"/>
      <c r="V15" s="747"/>
      <c r="W15" s="748"/>
      <c r="X15" s="145"/>
      <c r="Y15" s="20"/>
    </row>
    <row r="16" spans="1:26" x14ac:dyDescent="0.3">
      <c r="B16" s="19"/>
      <c r="C16" s="144"/>
      <c r="D16" s="65"/>
      <c r="X16" s="145"/>
      <c r="Y16" s="20"/>
    </row>
    <row r="17" spans="2:25" x14ac:dyDescent="0.3">
      <c r="B17" s="19"/>
      <c r="C17" s="144"/>
      <c r="D17" s="70" t="s">
        <v>438</v>
      </c>
      <c r="X17" s="145"/>
      <c r="Y17" s="20"/>
    </row>
    <row r="18" spans="2:25" x14ac:dyDescent="0.3">
      <c r="B18" s="19"/>
      <c r="C18" s="144"/>
      <c r="D18" s="70"/>
      <c r="E18" s="47" t="s">
        <v>2327</v>
      </c>
      <c r="F18" s="47"/>
      <c r="G18" s="47"/>
      <c r="H18" s="47"/>
      <c r="I18" s="47"/>
      <c r="J18" s="47"/>
      <c r="K18" s="47"/>
      <c r="L18" s="47"/>
      <c r="M18" s="47"/>
      <c r="N18" s="47"/>
      <c r="O18" s="43"/>
      <c r="P18" s="747"/>
      <c r="Q18" s="748"/>
      <c r="S18" s="747"/>
      <c r="T18" s="748"/>
      <c r="V18" s="747"/>
      <c r="W18" s="748"/>
      <c r="X18" s="145"/>
      <c r="Y18" s="20"/>
    </row>
    <row r="19" spans="2:25" x14ac:dyDescent="0.3">
      <c r="B19" s="19"/>
      <c r="C19" s="144"/>
      <c r="D19" s="65"/>
      <c r="E19" s="47" t="s">
        <v>2328</v>
      </c>
      <c r="F19" s="47"/>
      <c r="G19" s="47"/>
      <c r="H19" s="47"/>
      <c r="I19" s="47"/>
      <c r="J19" s="47"/>
      <c r="K19" s="47"/>
      <c r="L19" s="47"/>
      <c r="M19" s="47"/>
      <c r="N19" s="47"/>
      <c r="O19" s="43"/>
      <c r="P19" s="747"/>
      <c r="Q19" s="748"/>
      <c r="S19" s="747"/>
      <c r="T19" s="748"/>
      <c r="V19" s="747"/>
      <c r="W19" s="748"/>
      <c r="X19" s="145"/>
      <c r="Y19" s="20"/>
    </row>
    <row r="20" spans="2:25" x14ac:dyDescent="0.3">
      <c r="B20" s="19"/>
      <c r="C20" s="144"/>
      <c r="D20" s="65"/>
      <c r="E20" s="47" t="s">
        <v>2329</v>
      </c>
      <c r="F20" s="47"/>
      <c r="G20" s="47"/>
      <c r="H20" s="47"/>
      <c r="I20" s="47"/>
      <c r="J20" s="47"/>
      <c r="K20" s="47"/>
      <c r="L20" s="47"/>
      <c r="M20" s="47"/>
      <c r="N20" s="47"/>
      <c r="O20" s="43"/>
      <c r="P20" s="747"/>
      <c r="Q20" s="748"/>
      <c r="S20" s="747"/>
      <c r="T20" s="748"/>
      <c r="V20" s="747"/>
      <c r="W20" s="748"/>
      <c r="X20" s="145"/>
      <c r="Y20" s="20"/>
    </row>
    <row r="21" spans="2:25" x14ac:dyDescent="0.3">
      <c r="B21" s="19"/>
      <c r="C21" s="144"/>
      <c r="D21" s="65"/>
      <c r="E21" s="47" t="s">
        <v>2330</v>
      </c>
      <c r="F21" s="47"/>
      <c r="G21" s="47"/>
      <c r="H21" s="47"/>
      <c r="I21" s="47"/>
      <c r="J21" s="47"/>
      <c r="K21" s="47"/>
      <c r="L21" s="47"/>
      <c r="M21" s="47"/>
      <c r="N21" s="47"/>
      <c r="O21" s="43"/>
      <c r="P21" s="747"/>
      <c r="Q21" s="748"/>
      <c r="S21" s="747"/>
      <c r="T21" s="748"/>
      <c r="V21" s="747"/>
      <c r="W21" s="748"/>
      <c r="X21" s="145"/>
      <c r="Y21" s="20"/>
    </row>
    <row r="22" spans="2:25" x14ac:dyDescent="0.3">
      <c r="B22" s="19"/>
      <c r="C22" s="144"/>
      <c r="D22" s="65"/>
      <c r="X22" s="145"/>
      <c r="Y22" s="20"/>
    </row>
    <row r="23" spans="2:25" x14ac:dyDescent="0.3">
      <c r="B23" s="19"/>
      <c r="C23" s="144"/>
      <c r="D23" s="149" t="s">
        <v>441</v>
      </c>
      <c r="E23" s="40"/>
      <c r="F23" s="40"/>
      <c r="G23" s="40"/>
      <c r="H23" s="40"/>
      <c r="I23" s="40"/>
      <c r="J23" s="40"/>
      <c r="K23" s="40"/>
      <c r="L23" s="40"/>
      <c r="M23" s="40"/>
      <c r="N23" s="40"/>
      <c r="O23" s="45"/>
      <c r="P23" s="969" t="str">
        <f>IF(AND(ISBLANK(P12),ISBLANK(P13),ISBLANK(P14),ISBLANK(P15),ISBLANK(P18),ISBLANK(P19),ISBLANK(P20),ISBLANK(P21)),"",SUM(P12:Q14)-SUM(P18:Q21))</f>
        <v/>
      </c>
      <c r="Q23" s="970"/>
      <c r="S23" s="969" t="str">
        <f>IF(AND(ISBLANK(S12),ISBLANK(S13),ISBLANK(S14),ISBLANK(S15),ISBLANK(S18),ISBLANK(S19),ISBLANK(S20),ISBLANK(S21)),"",SUM(S12:T14)-SUM(S18:T21))</f>
        <v/>
      </c>
      <c r="T23" s="970"/>
      <c r="V23" s="969" t="str">
        <f>IF(AND(ISBLANK(V12),ISBLANK(V13),ISBLANK(V14),ISBLANK(V15),ISBLANK(V18),ISBLANK(V19),ISBLANK(V20),ISBLANK(V21)),"",SUM(V12:W14)-SUM(V18:W21))</f>
        <v/>
      </c>
      <c r="W23" s="970"/>
      <c r="X23" s="145"/>
      <c r="Y23" s="20"/>
    </row>
    <row r="24" spans="2:25" x14ac:dyDescent="0.3">
      <c r="B24" s="19"/>
      <c r="C24" s="144"/>
      <c r="D24" s="70"/>
      <c r="X24" s="145"/>
      <c r="Y24" s="20"/>
    </row>
    <row r="25" spans="2:25" x14ac:dyDescent="0.3">
      <c r="B25" s="19"/>
      <c r="C25" s="144"/>
      <c r="D25" s="149" t="s">
        <v>439</v>
      </c>
      <c r="E25" s="40"/>
      <c r="F25" s="40"/>
      <c r="G25" s="40"/>
      <c r="H25" s="40"/>
      <c r="I25" s="40"/>
      <c r="J25" s="40"/>
      <c r="K25" s="40"/>
      <c r="L25" s="40"/>
      <c r="M25" s="40"/>
      <c r="N25" s="40"/>
      <c r="O25" s="45"/>
      <c r="P25" s="969" t="str">
        <f>IF(ISERROR(P23+P15),"",P23+P15)</f>
        <v/>
      </c>
      <c r="Q25" s="970"/>
      <c r="S25" s="969" t="str">
        <f>IF(ISERROR(S23+S15),"",S23+S15)</f>
        <v/>
      </c>
      <c r="T25" s="970"/>
      <c r="V25" s="969" t="str">
        <f>IF(ISERROR(V23+V15),"",V23+V15)</f>
        <v/>
      </c>
      <c r="W25" s="970"/>
      <c r="X25" s="145"/>
      <c r="Y25" s="20"/>
    </row>
    <row r="26" spans="2:25" x14ac:dyDescent="0.3">
      <c r="B26" s="19"/>
      <c r="C26" s="146"/>
      <c r="D26" s="126"/>
      <c r="E26" s="126"/>
      <c r="F26" s="126"/>
      <c r="G26" s="126"/>
      <c r="H26" s="126"/>
      <c r="I26" s="126"/>
      <c r="J26" s="126"/>
      <c r="K26" s="126"/>
      <c r="L26" s="126"/>
      <c r="M26" s="126"/>
      <c r="N26" s="126"/>
      <c r="O26" s="126"/>
      <c r="P26" s="126"/>
      <c r="Q26" s="126"/>
      <c r="R26" s="126"/>
      <c r="S26" s="126"/>
      <c r="T26" s="126"/>
      <c r="U26" s="126"/>
      <c r="V26" s="126"/>
      <c r="W26" s="126"/>
      <c r="X26" s="148"/>
      <c r="Y26" s="20"/>
    </row>
    <row r="27" spans="2:25" x14ac:dyDescent="0.3">
      <c r="B27" s="19"/>
      <c r="Y27" s="20"/>
    </row>
    <row r="28" spans="2:25" x14ac:dyDescent="0.3">
      <c r="B28" s="19"/>
      <c r="Y28" s="20"/>
    </row>
    <row r="29" spans="2:25" x14ac:dyDescent="0.3">
      <c r="B29" s="19"/>
      <c r="C29" s="143" t="s">
        <v>440</v>
      </c>
      <c r="D29" s="123"/>
      <c r="E29" s="123"/>
      <c r="F29" s="123"/>
      <c r="G29" s="123"/>
      <c r="H29" s="123"/>
      <c r="I29" s="123"/>
      <c r="J29" s="123"/>
      <c r="K29" s="123"/>
      <c r="L29" s="123"/>
      <c r="M29" s="123"/>
      <c r="N29" s="123"/>
      <c r="O29" s="123"/>
      <c r="P29" s="965" t="s">
        <v>326</v>
      </c>
      <c r="Q29" s="965"/>
      <c r="R29" s="965"/>
      <c r="S29" s="965"/>
      <c r="T29" s="965"/>
      <c r="U29" s="965"/>
      <c r="V29" s="965"/>
      <c r="W29" s="965"/>
      <c r="X29" s="147"/>
      <c r="Y29" s="20"/>
    </row>
    <row r="30" spans="2:25" x14ac:dyDescent="0.3">
      <c r="B30" s="19"/>
      <c r="C30" s="144"/>
      <c r="D30" s="70" t="s">
        <v>437</v>
      </c>
      <c r="P30" s="850" t="str">
        <f>TEXT(cCampagneN,"0000-00")</f>
        <v>N</v>
      </c>
      <c r="Q30" s="850"/>
      <c r="S30" s="850" t="str">
        <f>cCampagneN1</f>
        <v>N-1</v>
      </c>
      <c r="T30" s="850"/>
      <c r="V30" s="850" t="str">
        <f>CCampagneN2</f>
        <v>N-2</v>
      </c>
      <c r="W30" s="850"/>
      <c r="X30" s="145"/>
      <c r="Y30" s="20"/>
    </row>
    <row r="31" spans="2:25" x14ac:dyDescent="0.3">
      <c r="B31" s="19"/>
      <c r="C31" s="144"/>
      <c r="D31" s="65"/>
      <c r="E31" s="47" t="s">
        <v>2331</v>
      </c>
      <c r="F31" s="47"/>
      <c r="G31" s="47"/>
      <c r="H31" s="47"/>
      <c r="I31" s="47"/>
      <c r="J31" s="47"/>
      <c r="K31" s="47"/>
      <c r="L31" s="47"/>
      <c r="M31" s="47"/>
      <c r="N31" s="47"/>
      <c r="O31" s="43"/>
      <c r="P31" s="747"/>
      <c r="Q31" s="748"/>
      <c r="S31" s="747"/>
      <c r="T31" s="748"/>
      <c r="V31" s="747"/>
      <c r="W31" s="748"/>
      <c r="X31" s="145"/>
      <c r="Y31" s="20"/>
    </row>
    <row r="32" spans="2:25" x14ac:dyDescent="0.3">
      <c r="B32" s="19"/>
      <c r="C32" s="144"/>
      <c r="D32" s="65"/>
      <c r="E32" s="47" t="s">
        <v>2332</v>
      </c>
      <c r="F32" s="47"/>
      <c r="G32" s="47"/>
      <c r="H32" s="47"/>
      <c r="I32" s="47"/>
      <c r="J32" s="47"/>
      <c r="K32" s="47"/>
      <c r="L32" s="47"/>
      <c r="M32" s="47"/>
      <c r="N32" s="47"/>
      <c r="O32" s="43"/>
      <c r="P32" s="747"/>
      <c r="Q32" s="748"/>
      <c r="S32" s="747"/>
      <c r="T32" s="748"/>
      <c r="V32" s="747"/>
      <c r="W32" s="748"/>
      <c r="X32" s="145"/>
      <c r="Y32" s="20"/>
    </row>
    <row r="33" spans="2:32" x14ac:dyDescent="0.3">
      <c r="B33" s="19"/>
      <c r="C33" s="144"/>
      <c r="D33" s="65"/>
      <c r="E33" s="47" t="s">
        <v>2333</v>
      </c>
      <c r="F33" s="47"/>
      <c r="G33" s="47"/>
      <c r="H33" s="47"/>
      <c r="I33" s="47"/>
      <c r="J33" s="47"/>
      <c r="K33" s="47"/>
      <c r="L33" s="47"/>
      <c r="M33" s="47"/>
      <c r="N33" s="47"/>
      <c r="O33" s="43"/>
      <c r="P33" s="747"/>
      <c r="Q33" s="748"/>
      <c r="S33" s="747"/>
      <c r="T33" s="748"/>
      <c r="V33" s="747"/>
      <c r="W33" s="748"/>
      <c r="X33" s="145"/>
      <c r="Y33" s="20"/>
    </row>
    <row r="34" spans="2:32" x14ac:dyDescent="0.3">
      <c r="B34" s="19"/>
      <c r="C34" s="144"/>
      <c r="D34" s="65"/>
      <c r="E34" s="47" t="s">
        <v>2334</v>
      </c>
      <c r="F34" s="47"/>
      <c r="G34" s="47"/>
      <c r="H34" s="47"/>
      <c r="I34" s="47"/>
      <c r="J34" s="47"/>
      <c r="K34" s="47"/>
      <c r="L34" s="47"/>
      <c r="M34" s="47"/>
      <c r="N34" s="47"/>
      <c r="O34" s="43"/>
      <c r="P34" s="747"/>
      <c r="Q34" s="748"/>
      <c r="S34" s="747"/>
      <c r="T34" s="748"/>
      <c r="V34" s="747"/>
      <c r="W34" s="748"/>
      <c r="X34" s="145"/>
      <c r="Y34" s="20"/>
    </row>
    <row r="35" spans="2:32" x14ac:dyDescent="0.3">
      <c r="B35" s="19"/>
      <c r="C35" s="144"/>
      <c r="D35" s="65"/>
      <c r="E35" s="48" t="s">
        <v>2335</v>
      </c>
      <c r="F35" s="48"/>
      <c r="G35" s="48"/>
      <c r="H35" s="48"/>
      <c r="I35" s="48"/>
      <c r="J35" s="48"/>
      <c r="K35" s="48"/>
      <c r="L35" s="48"/>
      <c r="M35" s="48"/>
      <c r="N35" s="48"/>
      <c r="O35" s="44"/>
      <c r="P35" s="747"/>
      <c r="Q35" s="748"/>
      <c r="S35" s="747"/>
      <c r="T35" s="748"/>
      <c r="V35" s="747"/>
      <c r="W35" s="748"/>
      <c r="X35" s="145"/>
      <c r="Y35" s="20"/>
    </row>
    <row r="36" spans="2:32" x14ac:dyDescent="0.3">
      <c r="B36" s="19"/>
      <c r="C36" s="144"/>
      <c r="E36" s="48" t="s">
        <v>2336</v>
      </c>
      <c r="F36" s="48"/>
      <c r="G36" s="48"/>
      <c r="H36" s="48"/>
      <c r="I36" s="48"/>
      <c r="J36" s="48"/>
      <c r="K36" s="48"/>
      <c r="L36" s="48"/>
      <c r="M36" s="48"/>
      <c r="N36" s="48"/>
      <c r="O36" s="44"/>
      <c r="P36" s="747"/>
      <c r="Q36" s="748"/>
      <c r="S36" s="747"/>
      <c r="T36" s="748"/>
      <c r="V36" s="747"/>
      <c r="W36" s="748"/>
      <c r="X36" s="145"/>
      <c r="Y36" s="20"/>
    </row>
    <row r="37" spans="2:32" x14ac:dyDescent="0.3">
      <c r="B37" s="19"/>
      <c r="C37" s="144"/>
      <c r="D37" s="65"/>
      <c r="X37" s="145"/>
      <c r="Y37" s="20"/>
    </row>
    <row r="38" spans="2:32" x14ac:dyDescent="0.3">
      <c r="B38" s="19"/>
      <c r="C38" s="144"/>
      <c r="D38" s="70" t="s">
        <v>438</v>
      </c>
      <c r="X38" s="145"/>
      <c r="Y38" s="20"/>
    </row>
    <row r="39" spans="2:32" x14ac:dyDescent="0.3">
      <c r="B39" s="19"/>
      <c r="C39" s="144"/>
      <c r="D39" s="70"/>
      <c r="E39" s="47" t="s">
        <v>2338</v>
      </c>
      <c r="F39" s="47"/>
      <c r="G39" s="47"/>
      <c r="H39" s="47"/>
      <c r="I39" s="47"/>
      <c r="J39" s="47"/>
      <c r="K39" s="47"/>
      <c r="L39" s="47"/>
      <c r="M39" s="47"/>
      <c r="N39" s="47"/>
      <c r="O39" s="43"/>
      <c r="P39" s="747"/>
      <c r="Q39" s="748"/>
      <c r="S39" s="747"/>
      <c r="T39" s="748"/>
      <c r="V39" s="747"/>
      <c r="W39" s="748"/>
      <c r="X39" s="145"/>
      <c r="Y39" s="20"/>
    </row>
    <row r="40" spans="2:32" x14ac:dyDescent="0.3">
      <c r="B40" s="19"/>
      <c r="C40" s="144"/>
      <c r="D40" s="70"/>
      <c r="E40" s="48" t="s">
        <v>2337</v>
      </c>
      <c r="F40" s="48"/>
      <c r="G40" s="48"/>
      <c r="H40" s="48"/>
      <c r="I40" s="48"/>
      <c r="J40" s="48"/>
      <c r="K40" s="48"/>
      <c r="L40" s="48"/>
      <c r="M40" s="48"/>
      <c r="N40" s="48"/>
      <c r="O40" s="44"/>
      <c r="P40" s="747"/>
      <c r="Q40" s="748"/>
      <c r="S40" s="747"/>
      <c r="T40" s="748"/>
      <c r="V40" s="747"/>
      <c r="W40" s="748"/>
      <c r="X40" s="145"/>
      <c r="Y40" s="20"/>
    </row>
    <row r="41" spans="2:32" x14ac:dyDescent="0.3">
      <c r="B41" s="19"/>
      <c r="C41" s="144"/>
      <c r="D41" s="70"/>
      <c r="E41" s="48" t="s">
        <v>2339</v>
      </c>
      <c r="F41" s="48"/>
      <c r="G41" s="48"/>
      <c r="H41" s="48"/>
      <c r="I41" s="48"/>
      <c r="J41" s="48"/>
      <c r="K41" s="48"/>
      <c r="L41" s="48"/>
      <c r="M41" s="48"/>
      <c r="N41" s="48"/>
      <c r="O41" s="44"/>
      <c r="P41" s="747"/>
      <c r="Q41" s="748"/>
      <c r="S41" s="747"/>
      <c r="T41" s="748"/>
      <c r="V41" s="747"/>
      <c r="W41" s="748"/>
      <c r="X41" s="145"/>
      <c r="Y41" s="20"/>
    </row>
    <row r="42" spans="2:32" x14ac:dyDescent="0.3">
      <c r="B42" s="19"/>
      <c r="C42" s="144"/>
      <c r="D42" s="65"/>
      <c r="E42" s="48" t="s">
        <v>2340</v>
      </c>
      <c r="F42" s="48"/>
      <c r="G42" s="48"/>
      <c r="H42" s="48"/>
      <c r="I42" s="48"/>
      <c r="J42" s="48"/>
      <c r="K42" s="48"/>
      <c r="L42" s="48"/>
      <c r="M42" s="48"/>
      <c r="N42" s="48"/>
      <c r="O42" s="44"/>
      <c r="P42" s="747"/>
      <c r="Q42" s="748"/>
      <c r="S42" s="747"/>
      <c r="T42" s="748"/>
      <c r="V42" s="747"/>
      <c r="W42" s="748"/>
      <c r="X42" s="145"/>
      <c r="Y42" s="20"/>
    </row>
    <row r="43" spans="2:32" x14ac:dyDescent="0.3">
      <c r="B43" s="19"/>
      <c r="C43" s="144"/>
      <c r="D43" s="65"/>
      <c r="X43" s="145"/>
      <c r="Y43" s="20"/>
    </row>
    <row r="44" spans="2:32" x14ac:dyDescent="0.3">
      <c r="B44" s="19"/>
      <c r="C44" s="144"/>
      <c r="D44" s="149" t="s">
        <v>441</v>
      </c>
      <c r="E44" s="40"/>
      <c r="F44" s="40"/>
      <c r="G44" s="40"/>
      <c r="H44" s="40"/>
      <c r="I44" s="40"/>
      <c r="J44" s="40"/>
      <c r="K44" s="40"/>
      <c r="L44" s="40"/>
      <c r="M44" s="40"/>
      <c r="N44" s="40"/>
      <c r="O44" s="45"/>
      <c r="P44" s="969" t="str">
        <f>IF(AND(ISBLANK(P31),ISBLANK(P32),ISBLANK(P33),ISBLANK(P34),ISBLANK(P35),ISBLANK(P36),ISBLANK(P39),ISBLANK(P40),ISBLANK(P41),ISBLANK(P42)),"",SUM(P31:Q35)-SUM(P39:Q42))</f>
        <v/>
      </c>
      <c r="Q44" s="970"/>
      <c r="S44" s="969" t="str">
        <f>IF(AND(ISBLANK(S31),ISBLANK(S32),ISBLANK(S33),ISBLANK(S34),ISBLANK(S35),ISBLANK(S36),ISBLANK(S39),ISBLANK(S40),ISBLANK(S41),ISBLANK(S42)),"",SUM(S31:T35)-SUM(S39:T42))</f>
        <v/>
      </c>
      <c r="T44" s="970"/>
      <c r="V44" s="969" t="str">
        <f>IF(AND(ISBLANK(V31),ISBLANK(V32),ISBLANK(V33),ISBLANK(V34),ISBLANK(V35),ISBLANK(V36),ISBLANK(V39),ISBLANK(V40),ISBLANK(V41),ISBLANK(V42)),"",SUM(V31:W35)-SUM(V39:W42))</f>
        <v/>
      </c>
      <c r="W44" s="970"/>
      <c r="X44" s="145"/>
      <c r="Y44" s="20"/>
    </row>
    <row r="45" spans="2:32" x14ac:dyDescent="0.3">
      <c r="B45" s="19"/>
      <c r="C45" s="144"/>
      <c r="D45" s="70"/>
      <c r="X45" s="145"/>
      <c r="Y45" s="20"/>
    </row>
    <row r="46" spans="2:32" x14ac:dyDescent="0.3">
      <c r="B46" s="19"/>
      <c r="C46" s="144"/>
      <c r="D46" s="149" t="s">
        <v>439</v>
      </c>
      <c r="E46" s="40"/>
      <c r="F46" s="40"/>
      <c r="G46" s="40"/>
      <c r="H46" s="40"/>
      <c r="I46" s="40"/>
      <c r="J46" s="40"/>
      <c r="K46" s="40"/>
      <c r="L46" s="40"/>
      <c r="M46" s="40"/>
      <c r="N46" s="40"/>
      <c r="O46" s="45"/>
      <c r="P46" s="969" t="str">
        <f>IF(ISERROR(P44+P36),"",P44+P36)</f>
        <v/>
      </c>
      <c r="Q46" s="970"/>
      <c r="S46" s="969" t="str">
        <f>IF(ISERROR(S44+S36),"",S44+S36)</f>
        <v/>
      </c>
      <c r="T46" s="970"/>
      <c r="V46" s="969" t="str">
        <f>IF(ISERROR(V44+V36),"",V44+V36)</f>
        <v/>
      </c>
      <c r="W46" s="970"/>
      <c r="X46" s="145"/>
      <c r="Y46" s="20"/>
      <c r="AC46" t="s">
        <v>2342</v>
      </c>
      <c r="AF46">
        <f>IF(M54=1,P25,IF(M54=2,SUM(P25:T25)/2,SUM(P25:W25)/3))</f>
        <v>0</v>
      </c>
    </row>
    <row r="47" spans="2:32" x14ac:dyDescent="0.3">
      <c r="B47" s="19"/>
      <c r="C47" s="146"/>
      <c r="D47" s="126"/>
      <c r="E47" s="126"/>
      <c r="F47" s="126"/>
      <c r="G47" s="126"/>
      <c r="H47" s="126"/>
      <c r="I47" s="126"/>
      <c r="J47" s="126"/>
      <c r="K47" s="126"/>
      <c r="L47" s="126"/>
      <c r="M47" s="126"/>
      <c r="N47" s="126"/>
      <c r="O47" s="126"/>
      <c r="P47" s="126"/>
      <c r="Q47" s="126"/>
      <c r="R47" s="126"/>
      <c r="S47" s="126"/>
      <c r="T47" s="126"/>
      <c r="U47" s="126"/>
      <c r="V47" s="126"/>
      <c r="W47" s="126"/>
      <c r="X47" s="148"/>
      <c r="Y47" s="20"/>
      <c r="AC47" t="s">
        <v>2341</v>
      </c>
      <c r="AF47">
        <f>IF(M54=1,P46,IF(M54=2,SUM(P46:T46)/2,SUM(P46:W46)/3))</f>
        <v>0</v>
      </c>
    </row>
    <row r="48" spans="2:32" x14ac:dyDescent="0.3">
      <c r="B48" s="19"/>
      <c r="Y48" s="20"/>
    </row>
    <row r="49" spans="2:38" x14ac:dyDescent="0.3">
      <c r="B49" s="19"/>
      <c r="D49" s="141" t="s">
        <v>2476</v>
      </c>
      <c r="P49" s="141" t="str">
        <f>IF(M54&lt;&gt;"","Bien saisir les données du bilan sur " &amp; M54 &amp; " campagne(s).","")</f>
        <v/>
      </c>
      <c r="Y49" s="20"/>
    </row>
    <row r="50" spans="2:38" x14ac:dyDescent="0.3">
      <c r="B50" s="19"/>
      <c r="Y50" s="20"/>
    </row>
    <row r="51" spans="2:38" x14ac:dyDescent="0.3">
      <c r="B51" s="19"/>
      <c r="D51" s="47" t="s">
        <v>442</v>
      </c>
      <c r="E51" s="47"/>
      <c r="F51" s="47"/>
      <c r="G51" s="47"/>
      <c r="H51" s="47"/>
      <c r="I51" s="47"/>
      <c r="J51" s="47"/>
      <c r="K51" s="47"/>
      <c r="L51" s="43"/>
      <c r="M51" s="972" t="str">
        <f>IF(Identification!F71="","",IFERROR(IF(MATCH(Identification!F71,Listes!Z:Z,0)&gt;0,"Oui","Non"),"Non"))</f>
        <v/>
      </c>
      <c r="N51" s="973"/>
      <c r="P51" s="141" t="str">
        <f>IF(M51="","Saisir l'OTEX dans l'onglet Identification","")</f>
        <v>Saisir l'OTEX dans l'onglet Identification</v>
      </c>
      <c r="Y51" s="20"/>
    </row>
    <row r="52" spans="2:38" x14ac:dyDescent="0.3">
      <c r="B52" s="19"/>
      <c r="D52" s="48" t="s">
        <v>443</v>
      </c>
      <c r="E52" s="48"/>
      <c r="F52" s="48"/>
      <c r="G52" s="48"/>
      <c r="H52" s="48"/>
      <c r="I52" s="48"/>
      <c r="J52" s="48"/>
      <c r="K52" s="48"/>
      <c r="L52" s="44"/>
      <c r="M52" s="747"/>
      <c r="N52" s="790"/>
      <c r="O52" s="790"/>
      <c r="P52" s="790"/>
      <c r="Q52" s="748"/>
      <c r="Y52" s="20"/>
    </row>
    <row r="53" spans="2:38" x14ac:dyDescent="0.3">
      <c r="B53" s="19"/>
      <c r="C53" s="42"/>
      <c r="Y53" s="20"/>
    </row>
    <row r="54" spans="2:38" x14ac:dyDescent="0.3">
      <c r="B54" s="19"/>
      <c r="D54" s="75" t="s">
        <v>3133</v>
      </c>
      <c r="E54" s="75"/>
      <c r="F54" s="40"/>
      <c r="G54" s="40"/>
      <c r="H54" s="40"/>
      <c r="I54" s="40"/>
      <c r="J54" s="40"/>
      <c r="K54" s="40"/>
      <c r="L54" s="45"/>
      <c r="M54" s="747"/>
      <c r="N54" s="748"/>
      <c r="P54" s="678" t="s">
        <v>3204</v>
      </c>
      <c r="Q54" s="678"/>
      <c r="Y54" s="20"/>
      <c r="AI54" s="299"/>
      <c r="AJ54" s="299"/>
      <c r="AK54" s="299" t="s">
        <v>2382</v>
      </c>
      <c r="AL54" s="299" t="s">
        <v>2383</v>
      </c>
    </row>
    <row r="55" spans="2:38" x14ac:dyDescent="0.3">
      <c r="B55" s="19"/>
      <c r="D55" s="75" t="str">
        <f>"Solde du bilan en moyenne sur " &amp; M54 &amp; " campagne(s)"</f>
        <v>Solde du bilan en moyenne sur  campagne(s)</v>
      </c>
      <c r="E55" s="75"/>
      <c r="F55" s="40"/>
      <c r="G55" s="40"/>
      <c r="H55" s="40"/>
      <c r="I55" s="40"/>
      <c r="J55" s="40"/>
      <c r="K55" s="40"/>
      <c r="L55" s="45"/>
      <c r="M55" s="898" t="str">
        <f>IF(M54="","",IF(AND(M52="Bilan apparent",M51="Oui"),AF47,IF(AND(M51="Non",M52="Bilan apparent"),AF47,AF46)))</f>
        <v/>
      </c>
      <c r="N55" s="899"/>
      <c r="P55" s="778">
        <f>IF(OR(M54="",M52=""),0,IF(AND(M51="Oui",M52="Bilan apparent"),AF55,AD55))</f>
        <v>0</v>
      </c>
      <c r="Q55" s="779"/>
      <c r="Y55" s="20"/>
      <c r="AC55" t="s">
        <v>2379</v>
      </c>
      <c r="AD55">
        <f>IF(M55&gt;50,0,IF(AND(M55&lt;=50,M55&gt;40),2,IF(AND(M55&lt;=40,M55&gt;30),5,IF(AND(M55&lt;=30,M55&gt;20),7,IF(M55&lt;=20,8,0)))))</f>
        <v>0</v>
      </c>
      <c r="AE55" t="s">
        <v>2380</v>
      </c>
      <c r="AF55">
        <f>IF(M55&gt;90,0,IF(AND(M55&lt;=90,M55&gt;70),2,IF(AND(M55&lt;=70,M55&gt;50),4,IF(AND(M55&lt;=50,M55&gt;30),6,IF(M55&lt;=30,8,0)))))</f>
        <v>0</v>
      </c>
      <c r="AI55" s="299" t="s">
        <v>2381</v>
      </c>
      <c r="AJ55" s="299" t="s">
        <v>305</v>
      </c>
      <c r="AK55" s="299" t="str">
        <f>AC55</f>
        <v>calcul général</v>
      </c>
      <c r="AL55" s="299" t="str">
        <f>AC55</f>
        <v>calcul général</v>
      </c>
    </row>
    <row r="56" spans="2:38" x14ac:dyDescent="0.3">
      <c r="B56" s="19"/>
      <c r="Y56" s="20"/>
      <c r="AI56" s="299"/>
      <c r="AJ56" s="299" t="s">
        <v>66</v>
      </c>
      <c r="AK56" s="299" t="str">
        <f>AC55</f>
        <v>calcul général</v>
      </c>
      <c r="AL56" s="299" t="str">
        <f>AE55</f>
        <v>calcul spé</v>
      </c>
    </row>
    <row r="57" spans="2:38" x14ac:dyDescent="0.3">
      <c r="B57" s="19"/>
      <c r="D57" s="75" t="s">
        <v>2343</v>
      </c>
      <c r="E57" s="75"/>
      <c r="F57" s="75"/>
      <c r="G57" s="75"/>
      <c r="H57" s="75"/>
      <c r="I57" s="75"/>
      <c r="J57" s="75"/>
      <c r="K57" s="75"/>
      <c r="L57" s="100"/>
      <c r="M57" s="747"/>
      <c r="N57" s="748"/>
      <c r="Y57" s="20"/>
    </row>
    <row r="58" spans="2:38" x14ac:dyDescent="0.3">
      <c r="B58" s="19"/>
      <c r="D58" s="75" t="s">
        <v>2787</v>
      </c>
      <c r="E58" s="75"/>
      <c r="F58" s="75"/>
      <c r="G58" s="75"/>
      <c r="H58" s="75"/>
      <c r="I58" s="75"/>
      <c r="J58" s="75"/>
      <c r="K58" s="75"/>
      <c r="L58" s="100"/>
      <c r="M58" s="833"/>
      <c r="N58" s="834"/>
      <c r="O58" s="535" t="str">
        <f>IF(ISBLANK(SURF_CULTURES_MINEURES),"A saisir","")</f>
        <v>A saisir</v>
      </c>
      <c r="P58" s="546" t="str">
        <f>IF(M58&gt;M59,"Attention : surface en cultures mineures saisies &gt; SAU","")</f>
        <v/>
      </c>
      <c r="Y58" s="20"/>
    </row>
    <row r="59" spans="2:38" x14ac:dyDescent="0.3">
      <c r="B59" s="19"/>
      <c r="D59" s="76" t="s">
        <v>444</v>
      </c>
      <c r="E59" s="76"/>
      <c r="F59" s="76"/>
      <c r="G59" s="76"/>
      <c r="H59" s="76"/>
      <c r="I59" s="76"/>
      <c r="J59" s="76"/>
      <c r="K59" s="76"/>
      <c r="L59" s="101"/>
      <c r="M59" s="840">
        <f>Surfaces!O25</f>
        <v>0</v>
      </c>
      <c r="N59" s="841"/>
      <c r="Y59" s="20"/>
    </row>
    <row r="60" spans="2:38" x14ac:dyDescent="0.3">
      <c r="B60" s="19"/>
      <c r="D60" s="76" t="s">
        <v>445</v>
      </c>
      <c r="E60" s="76"/>
      <c r="F60" s="76"/>
      <c r="G60" s="76"/>
      <c r="H60" s="76"/>
      <c r="I60" s="76"/>
      <c r="J60" s="76"/>
      <c r="K60" s="76"/>
      <c r="L60" s="101"/>
      <c r="M60" s="837">
        <f>IFERROR(M58/M59,0)</f>
        <v>0</v>
      </c>
      <c r="N60" s="838"/>
      <c r="Y60" s="20"/>
    </row>
    <row r="61" spans="2:38" x14ac:dyDescent="0.3">
      <c r="B61" s="19"/>
      <c r="Y61" s="20"/>
    </row>
    <row r="62" spans="2:38" x14ac:dyDescent="0.3">
      <c r="B62" s="19"/>
      <c r="D62" s="75" t="s">
        <v>446</v>
      </c>
      <c r="E62" s="40"/>
      <c r="F62" s="40"/>
      <c r="G62" s="40"/>
      <c r="H62" s="40"/>
      <c r="I62" s="40"/>
      <c r="J62" s="40"/>
      <c r="K62" s="40"/>
      <c r="L62" s="45"/>
      <c r="M62" s="851" t="str">
        <f>IF(M57="Oui","Non",IF(M60&lt;=0.05,"Non","Oui"))</f>
        <v>Non</v>
      </c>
      <c r="N62" s="852"/>
      <c r="O62" s="141"/>
      <c r="Y62" s="20"/>
    </row>
    <row r="63" spans="2:38" x14ac:dyDescent="0.3">
      <c r="B63" s="19"/>
      <c r="D63" s="65"/>
      <c r="V63" s="680" t="s">
        <v>3205</v>
      </c>
      <c r="W63" s="680"/>
      <c r="X63" s="680"/>
      <c r="Y63" s="681"/>
    </row>
    <row r="64" spans="2:38" x14ac:dyDescent="0.3">
      <c r="B64" s="19"/>
      <c r="D64" s="149" t="s">
        <v>447</v>
      </c>
      <c r="E64" s="40"/>
      <c r="F64" s="40"/>
      <c r="G64" s="40"/>
      <c r="H64" s="40"/>
      <c r="I64" s="40"/>
      <c r="J64" s="40"/>
      <c r="K64" s="40"/>
      <c r="L64" s="40"/>
      <c r="M64" s="40"/>
      <c r="N64" s="40"/>
      <c r="O64" s="380"/>
      <c r="P64" s="858">
        <f>IF(ISBLANK(M58),0,MAX(IF(M62="Oui",P55*(100%-M60),P55),0))</f>
        <v>0</v>
      </c>
      <c r="Q64" s="859"/>
      <c r="W64" s="694">
        <f>MAX(IF(M62="Oui",8*(100%-M60),8),0)</f>
        <v>8</v>
      </c>
      <c r="X64" s="695"/>
      <c r="Y64" s="20"/>
    </row>
    <row r="65" spans="2:25" x14ac:dyDescent="0.3">
      <c r="B65" s="19"/>
      <c r="D65" s="70"/>
      <c r="M65" s="338"/>
      <c r="N65" s="338"/>
      <c r="O65" s="141"/>
      <c r="W65" s="339"/>
      <c r="X65" s="339"/>
      <c r="Y65" s="20"/>
    </row>
    <row r="66" spans="2:25" x14ac:dyDescent="0.3">
      <c r="B66" s="19"/>
      <c r="D66" s="70"/>
      <c r="M66" s="338"/>
      <c r="N66" s="338"/>
      <c r="O66" s="141"/>
      <c r="W66" s="339"/>
      <c r="X66" s="339"/>
      <c r="Y66" s="20"/>
    </row>
    <row r="67" spans="2:25" x14ac:dyDescent="0.3">
      <c r="B67" s="19"/>
      <c r="D67" s="70" t="s">
        <v>2472</v>
      </c>
      <c r="Y67" s="20"/>
    </row>
    <row r="68" spans="2:25" x14ac:dyDescent="0.3">
      <c r="B68" s="19"/>
      <c r="D68" s="652"/>
      <c r="E68" s="653"/>
      <c r="F68" s="653"/>
      <c r="G68" s="653"/>
      <c r="H68" s="653"/>
      <c r="I68" s="653"/>
      <c r="J68" s="653"/>
      <c r="K68" s="653"/>
      <c r="L68" s="653"/>
      <c r="M68" s="653"/>
      <c r="N68" s="653"/>
      <c r="O68" s="653"/>
      <c r="P68" s="653"/>
      <c r="Q68" s="653"/>
      <c r="R68" s="653"/>
      <c r="S68" s="653"/>
      <c r="T68" s="653"/>
      <c r="U68" s="653"/>
      <c r="V68" s="653"/>
      <c r="W68" s="653"/>
      <c r="X68" s="654"/>
      <c r="Y68" s="20"/>
    </row>
    <row r="69" spans="2:25" x14ac:dyDescent="0.3">
      <c r="B69" s="19"/>
      <c r="D69" s="655"/>
      <c r="E69" s="656"/>
      <c r="F69" s="656"/>
      <c r="G69" s="656"/>
      <c r="H69" s="656"/>
      <c r="I69" s="656"/>
      <c r="J69" s="656"/>
      <c r="K69" s="656"/>
      <c r="L69" s="656"/>
      <c r="M69" s="656"/>
      <c r="N69" s="656"/>
      <c r="O69" s="656"/>
      <c r="P69" s="656"/>
      <c r="Q69" s="656"/>
      <c r="R69" s="656"/>
      <c r="S69" s="656"/>
      <c r="T69" s="656"/>
      <c r="U69" s="656"/>
      <c r="V69" s="656"/>
      <c r="W69" s="656"/>
      <c r="X69" s="657"/>
      <c r="Y69" s="20"/>
    </row>
    <row r="70" spans="2:25" x14ac:dyDescent="0.3">
      <c r="B70" s="19"/>
      <c r="D70" s="655"/>
      <c r="E70" s="656"/>
      <c r="F70" s="656"/>
      <c r="G70" s="656"/>
      <c r="H70" s="656"/>
      <c r="I70" s="656"/>
      <c r="J70" s="656"/>
      <c r="K70" s="656"/>
      <c r="L70" s="656"/>
      <c r="M70" s="656"/>
      <c r="N70" s="656"/>
      <c r="O70" s="656"/>
      <c r="P70" s="656"/>
      <c r="Q70" s="656"/>
      <c r="R70" s="656"/>
      <c r="S70" s="656"/>
      <c r="T70" s="656"/>
      <c r="U70" s="656"/>
      <c r="V70" s="656"/>
      <c r="W70" s="656"/>
      <c r="X70" s="657"/>
      <c r="Y70" s="20"/>
    </row>
    <row r="71" spans="2:25" x14ac:dyDescent="0.3">
      <c r="B71" s="19"/>
      <c r="D71" s="655"/>
      <c r="E71" s="656"/>
      <c r="F71" s="656"/>
      <c r="G71" s="656"/>
      <c r="H71" s="656"/>
      <c r="I71" s="656"/>
      <c r="J71" s="656"/>
      <c r="K71" s="656"/>
      <c r="L71" s="656"/>
      <c r="M71" s="656"/>
      <c r="N71" s="656"/>
      <c r="O71" s="656"/>
      <c r="P71" s="656"/>
      <c r="Q71" s="656"/>
      <c r="R71" s="656"/>
      <c r="S71" s="656"/>
      <c r="T71" s="656"/>
      <c r="U71" s="656"/>
      <c r="V71" s="656"/>
      <c r="W71" s="656"/>
      <c r="X71" s="657"/>
      <c r="Y71" s="20"/>
    </row>
    <row r="72" spans="2:25" x14ac:dyDescent="0.3">
      <c r="B72" s="19"/>
      <c r="D72" s="655"/>
      <c r="E72" s="656"/>
      <c r="F72" s="656"/>
      <c r="G72" s="656"/>
      <c r="H72" s="656"/>
      <c r="I72" s="656"/>
      <c r="J72" s="656"/>
      <c r="K72" s="656"/>
      <c r="L72" s="656"/>
      <c r="M72" s="656"/>
      <c r="N72" s="656"/>
      <c r="O72" s="656"/>
      <c r="P72" s="656"/>
      <c r="Q72" s="656"/>
      <c r="R72" s="656"/>
      <c r="S72" s="656"/>
      <c r="T72" s="656"/>
      <c r="U72" s="656"/>
      <c r="V72" s="656"/>
      <c r="W72" s="656"/>
      <c r="X72" s="657"/>
      <c r="Y72" s="20"/>
    </row>
    <row r="73" spans="2:25" x14ac:dyDescent="0.3">
      <c r="B73" s="19"/>
      <c r="D73" s="655"/>
      <c r="E73" s="656"/>
      <c r="F73" s="656"/>
      <c r="G73" s="656"/>
      <c r="H73" s="656"/>
      <c r="I73" s="656"/>
      <c r="J73" s="656"/>
      <c r="K73" s="656"/>
      <c r="L73" s="656"/>
      <c r="M73" s="656"/>
      <c r="N73" s="656"/>
      <c r="O73" s="656"/>
      <c r="P73" s="656"/>
      <c r="Q73" s="656"/>
      <c r="R73" s="656"/>
      <c r="S73" s="656"/>
      <c r="T73" s="656"/>
      <c r="U73" s="656"/>
      <c r="V73" s="656"/>
      <c r="W73" s="656"/>
      <c r="X73" s="657"/>
      <c r="Y73" s="20"/>
    </row>
    <row r="74" spans="2:25" x14ac:dyDescent="0.3">
      <c r="B74" s="19"/>
      <c r="D74" s="655"/>
      <c r="E74" s="656"/>
      <c r="F74" s="656"/>
      <c r="G74" s="656"/>
      <c r="H74" s="656"/>
      <c r="I74" s="656"/>
      <c r="J74" s="656"/>
      <c r="K74" s="656"/>
      <c r="L74" s="656"/>
      <c r="M74" s="656"/>
      <c r="N74" s="656"/>
      <c r="O74" s="656"/>
      <c r="P74" s="656"/>
      <c r="Q74" s="656"/>
      <c r="R74" s="656"/>
      <c r="S74" s="656"/>
      <c r="T74" s="656"/>
      <c r="U74" s="656"/>
      <c r="V74" s="656"/>
      <c r="W74" s="656"/>
      <c r="X74" s="657"/>
      <c r="Y74" s="20"/>
    </row>
    <row r="75" spans="2:25" x14ac:dyDescent="0.3">
      <c r="B75" s="19"/>
      <c r="D75" s="655"/>
      <c r="E75" s="656"/>
      <c r="F75" s="656"/>
      <c r="G75" s="656"/>
      <c r="H75" s="656"/>
      <c r="I75" s="656"/>
      <c r="J75" s="656"/>
      <c r="K75" s="656"/>
      <c r="L75" s="656"/>
      <c r="M75" s="656"/>
      <c r="N75" s="656"/>
      <c r="O75" s="656"/>
      <c r="P75" s="656"/>
      <c r="Q75" s="656"/>
      <c r="R75" s="656"/>
      <c r="S75" s="656"/>
      <c r="T75" s="656"/>
      <c r="U75" s="656"/>
      <c r="V75" s="656"/>
      <c r="W75" s="656"/>
      <c r="X75" s="657"/>
      <c r="Y75" s="20"/>
    </row>
    <row r="76" spans="2:25" x14ac:dyDescent="0.3">
      <c r="B76" s="19"/>
      <c r="D76" s="655"/>
      <c r="E76" s="656"/>
      <c r="F76" s="656"/>
      <c r="G76" s="656"/>
      <c r="H76" s="656"/>
      <c r="I76" s="656"/>
      <c r="J76" s="656"/>
      <c r="K76" s="656"/>
      <c r="L76" s="656"/>
      <c r="M76" s="656"/>
      <c r="N76" s="656"/>
      <c r="O76" s="656"/>
      <c r="P76" s="656"/>
      <c r="Q76" s="656"/>
      <c r="R76" s="656"/>
      <c r="S76" s="656"/>
      <c r="T76" s="656"/>
      <c r="U76" s="656"/>
      <c r="V76" s="656"/>
      <c r="W76" s="656"/>
      <c r="X76" s="657"/>
      <c r="Y76" s="20"/>
    </row>
    <row r="77" spans="2:25" x14ac:dyDescent="0.3">
      <c r="B77" s="19"/>
      <c r="D77" s="658"/>
      <c r="E77" s="659"/>
      <c r="F77" s="659"/>
      <c r="G77" s="659"/>
      <c r="H77" s="659"/>
      <c r="I77" s="659"/>
      <c r="J77" s="659"/>
      <c r="K77" s="659"/>
      <c r="L77" s="659"/>
      <c r="M77" s="659"/>
      <c r="N77" s="659"/>
      <c r="O77" s="659"/>
      <c r="P77" s="659"/>
      <c r="Q77" s="659"/>
      <c r="R77" s="659"/>
      <c r="S77" s="659"/>
      <c r="T77" s="659"/>
      <c r="U77" s="659"/>
      <c r="V77" s="659"/>
      <c r="W77" s="659"/>
      <c r="X77" s="660"/>
      <c r="Y77" s="20"/>
    </row>
    <row r="78" spans="2:25" x14ac:dyDescent="0.3">
      <c r="B78" s="19"/>
      <c r="D78" s="70"/>
      <c r="M78" s="338"/>
      <c r="N78" s="338"/>
      <c r="O78" s="141"/>
      <c r="W78" s="339"/>
      <c r="X78" s="339"/>
      <c r="Y78" s="20"/>
    </row>
    <row r="79" spans="2:25" ht="15" thickBot="1" x14ac:dyDescent="0.35">
      <c r="B79" s="22"/>
      <c r="C79" s="23"/>
      <c r="D79" s="23"/>
      <c r="E79" s="23"/>
      <c r="F79" s="23"/>
      <c r="G79" s="23"/>
      <c r="H79" s="23"/>
      <c r="I79" s="23"/>
      <c r="J79" s="23"/>
      <c r="K79" s="23"/>
      <c r="L79" s="23"/>
      <c r="M79" s="23"/>
      <c r="N79" s="23"/>
      <c r="O79" s="23"/>
      <c r="P79" s="23"/>
      <c r="Q79" s="23"/>
      <c r="R79" s="23"/>
      <c r="S79" s="23"/>
      <c r="T79" s="23"/>
      <c r="U79" s="23"/>
      <c r="V79" s="23"/>
      <c r="W79" s="23"/>
      <c r="X79" s="23"/>
      <c r="Y79" s="24"/>
    </row>
    <row r="82" spans="2:33" ht="15" thickBot="1" x14ac:dyDescent="0.35"/>
    <row r="83" spans="2:33" x14ac:dyDescent="0.3">
      <c r="B83" s="16"/>
      <c r="C83" s="17"/>
      <c r="D83" s="17"/>
      <c r="E83" s="17"/>
      <c r="F83" s="17"/>
      <c r="G83" s="17"/>
      <c r="H83" s="17"/>
      <c r="I83" s="17"/>
      <c r="J83" s="17"/>
      <c r="K83" s="17"/>
      <c r="L83" s="17"/>
      <c r="M83" s="17"/>
      <c r="N83" s="17"/>
      <c r="O83" s="17"/>
      <c r="P83" s="17"/>
      <c r="Q83" s="17"/>
      <c r="R83" s="17"/>
      <c r="S83" s="17"/>
      <c r="T83" s="17"/>
      <c r="U83" s="17"/>
      <c r="V83" s="17"/>
      <c r="W83" s="17"/>
      <c r="X83" s="17"/>
      <c r="Y83" s="18"/>
    </row>
    <row r="84" spans="2:33" x14ac:dyDescent="0.3">
      <c r="B84" s="19"/>
      <c r="Y84" s="20"/>
    </row>
    <row r="85" spans="2:33" x14ac:dyDescent="0.3">
      <c r="B85" s="19"/>
      <c r="C85" s="141" t="s">
        <v>2549</v>
      </c>
      <c r="Y85" s="20"/>
    </row>
    <row r="86" spans="2:33" x14ac:dyDescent="0.3">
      <c r="B86" s="19"/>
      <c r="Q86" s="968" t="s">
        <v>721</v>
      </c>
      <c r="R86" s="968"/>
      <c r="S86" s="894" t="s">
        <v>290</v>
      </c>
      <c r="T86" s="894"/>
      <c r="U86" s="894" t="s">
        <v>289</v>
      </c>
      <c r="V86" s="894"/>
      <c r="W86" s="678"/>
      <c r="X86" s="678"/>
      <c r="Y86" s="20"/>
    </row>
    <row r="87" spans="2:33" x14ac:dyDescent="0.3">
      <c r="B87" s="19"/>
      <c r="C87" s="47" t="str">
        <f>"Azote apporté pendant 1 campagne sur les surfaces en horticulture et pépinière (" &amp; TEXT(cCampagneN,"0000-00") &amp; ")"</f>
        <v>Azote apporté pendant 1 campagne sur les surfaces en horticulture et pépinière (N)</v>
      </c>
      <c r="D87" s="47"/>
      <c r="E87" s="47"/>
      <c r="F87" s="47"/>
      <c r="G87" s="47"/>
      <c r="H87" s="47"/>
      <c r="I87" s="47"/>
      <c r="J87" s="47"/>
      <c r="K87" s="47"/>
      <c r="L87" s="47"/>
      <c r="M87" s="47"/>
      <c r="N87" s="47"/>
      <c r="O87" s="47"/>
      <c r="P87" s="43"/>
      <c r="Q87" s="959"/>
      <c r="R87" s="959"/>
      <c r="S87" s="960">
        <f>SUM(Paramètres!AA5:AA25)/1000</f>
        <v>0</v>
      </c>
      <c r="T87" s="960"/>
      <c r="U87" s="960">
        <f>SUM(Paramètres!Z5:Z25)/1000</f>
        <v>0</v>
      </c>
      <c r="V87" s="967"/>
      <c r="W87" s="966"/>
      <c r="X87" s="839"/>
      <c r="Y87" s="20"/>
    </row>
    <row r="88" spans="2:33" x14ac:dyDescent="0.3">
      <c r="B88" s="19"/>
      <c r="C88" s="48" t="str">
        <f>"Azote apporté pendant 1 campagne sur les surfaces en horticulture et pépinière (" &amp; cCampagneN1 &amp; ")"</f>
        <v>Azote apporté pendant 1 campagne sur les surfaces en horticulture et pépinière (N-1)</v>
      </c>
      <c r="D88" s="48"/>
      <c r="E88" s="48"/>
      <c r="F88" s="48"/>
      <c r="G88" s="48"/>
      <c r="H88" s="48"/>
      <c r="I88" s="48"/>
      <c r="J88" s="48"/>
      <c r="K88" s="48"/>
      <c r="L88" s="48"/>
      <c r="M88" s="48"/>
      <c r="N88" s="48"/>
      <c r="O88" s="48"/>
      <c r="P88" s="44"/>
      <c r="Q88" s="959"/>
      <c r="R88" s="959"/>
      <c r="S88" s="960">
        <f>SUM(Paramètres!AE5:AE25)/1000</f>
        <v>0</v>
      </c>
      <c r="T88" s="960"/>
      <c r="U88" s="960">
        <f>SUM(Paramètres!AD5:AD25)/1000</f>
        <v>0</v>
      </c>
      <c r="V88" s="967"/>
      <c r="W88" s="966"/>
      <c r="X88" s="839"/>
      <c r="Y88" s="20"/>
    </row>
    <row r="89" spans="2:33" x14ac:dyDescent="0.3">
      <c r="B89" s="19"/>
      <c r="C89" s="48" t="str">
        <f>"Azote apporté pendant 1 campagne sur les surfaces en horticulture et pépinière (" &amp; CCampagneN2 &amp; ")"</f>
        <v>Azote apporté pendant 1 campagne sur les surfaces en horticulture et pépinière (N-2)</v>
      </c>
      <c r="D89" s="48"/>
      <c r="E89" s="48"/>
      <c r="F89" s="48"/>
      <c r="G89" s="48"/>
      <c r="H89" s="48"/>
      <c r="I89" s="48"/>
      <c r="J89" s="48"/>
      <c r="K89" s="48"/>
      <c r="L89" s="48"/>
      <c r="M89" s="48"/>
      <c r="N89" s="48"/>
      <c r="O89" s="48"/>
      <c r="P89" s="44"/>
      <c r="Q89" s="959"/>
      <c r="R89" s="959"/>
      <c r="S89" s="960">
        <f>SUM(Paramètres!AI5:AI25)/1000</f>
        <v>0</v>
      </c>
      <c r="T89" s="960"/>
      <c r="U89" s="960">
        <f>SUM(Paramètres!AH5:AH25)/1000</f>
        <v>0</v>
      </c>
      <c r="V89" s="967"/>
      <c r="W89" s="966"/>
      <c r="X89" s="839"/>
      <c r="Y89" s="20"/>
    </row>
    <row r="90" spans="2:33" x14ac:dyDescent="0.3">
      <c r="B90" s="19"/>
      <c r="C90" s="42"/>
      <c r="K90" s="36"/>
      <c r="L90" s="36"/>
      <c r="M90" s="36"/>
      <c r="N90" s="36"/>
      <c r="O90" s="36"/>
      <c r="P90" s="36"/>
      <c r="Q90" s="374" t="str">
        <f>IF(Q93&lt;&gt;"","Bien saisir les quantités sur " &amp; Q93&amp; " campagne(s), tout comme les surfaces et durées dans l'onglet Surfaces.","")</f>
        <v/>
      </c>
      <c r="Y90" s="20"/>
    </row>
    <row r="91" spans="2:33" x14ac:dyDescent="0.3">
      <c r="B91" s="19"/>
      <c r="O91" s="151"/>
      <c r="P91" s="151"/>
      <c r="Q91" s="151"/>
      <c r="R91" s="151"/>
      <c r="Y91" s="20"/>
    </row>
    <row r="92" spans="2:33" x14ac:dyDescent="0.3">
      <c r="B92" s="19"/>
      <c r="O92" s="151"/>
      <c r="P92" s="151"/>
      <c r="Q92" s="151"/>
      <c r="R92" s="151"/>
      <c r="Y92" s="20"/>
    </row>
    <row r="93" spans="2:33" x14ac:dyDescent="0.3">
      <c r="B93" s="19"/>
      <c r="C93" s="75" t="s">
        <v>2553</v>
      </c>
      <c r="D93" s="75"/>
      <c r="E93" s="75"/>
      <c r="F93" s="75"/>
      <c r="G93" s="75"/>
      <c r="H93" s="75"/>
      <c r="I93" s="75"/>
      <c r="J93" s="75"/>
      <c r="K93" s="75"/>
      <c r="L93" s="75"/>
      <c r="M93" s="75"/>
      <c r="N93" s="75"/>
      <c r="O93" s="75"/>
      <c r="P93" s="75"/>
      <c r="Q93" s="901" t="str">
        <f>IF(cTypeAudit="","",IF(cTypeAudit="Initial",1,IF(cTypeAudit="Suivi",2,3)))</f>
        <v/>
      </c>
      <c r="R93" s="901"/>
      <c r="S93" s="141" t="str">
        <f>IF(Q93="","Saisir le type de l'audit dans l'onglet Identification","")</f>
        <v>Saisir le type de l'audit dans l'onglet Identification</v>
      </c>
      <c r="Y93" s="20"/>
    </row>
    <row r="94" spans="2:33" x14ac:dyDescent="0.3">
      <c r="B94" s="19"/>
      <c r="C94" s="75" t="str">
        <f>"Quantité totale apportée sur " &amp; Q93 &amp; " campagne(s)"</f>
        <v>Quantité totale apportée sur  campagne(s)</v>
      </c>
      <c r="D94" s="75"/>
      <c r="E94" s="75"/>
      <c r="F94" s="75"/>
      <c r="G94" s="75"/>
      <c r="H94" s="75"/>
      <c r="I94" s="75"/>
      <c r="J94" s="75"/>
      <c r="K94" s="75"/>
      <c r="L94" s="75"/>
      <c r="M94" s="40"/>
      <c r="N94" s="40"/>
      <c r="O94" s="164"/>
      <c r="P94" s="40"/>
      <c r="Q94" s="796">
        <f>IF(SUM(Q87:R89) = 0,0,IF(Q93=1,Q87,IF(Q93=2,SUM(Q87:R88),SUM(Q87:R89))))</f>
        <v>0</v>
      </c>
      <c r="R94" s="796"/>
      <c r="Y94" s="20"/>
    </row>
    <row r="95" spans="2:33" x14ac:dyDescent="0.3">
      <c r="B95" s="19"/>
      <c r="C95" s="75" t="s">
        <v>717</v>
      </c>
      <c r="D95" s="75"/>
      <c r="E95" s="75"/>
      <c r="F95" s="75"/>
      <c r="G95" s="75"/>
      <c r="H95" s="75"/>
      <c r="I95" s="75"/>
      <c r="J95" s="75"/>
      <c r="K95" s="75"/>
      <c r="L95" s="75"/>
      <c r="M95" s="40"/>
      <c r="N95" s="40"/>
      <c r="O95" s="164"/>
      <c r="P95" s="40"/>
      <c r="Q95" s="898">
        <f>IF(Q93="",0,IF(Q93=1,S87,IF(Q93=2,SUM(S87:T88),SUM(S87:T89))))</f>
        <v>0</v>
      </c>
      <c r="R95" s="899"/>
      <c r="Y95" s="20"/>
      <c r="AC95" t="s">
        <v>244</v>
      </c>
    </row>
    <row r="96" spans="2:33" x14ac:dyDescent="0.3">
      <c r="B96" s="19"/>
      <c r="C96" s="75" t="s">
        <v>718</v>
      </c>
      <c r="D96" s="75"/>
      <c r="E96" s="75"/>
      <c r="F96" s="75"/>
      <c r="G96" s="75"/>
      <c r="H96" s="75"/>
      <c r="I96" s="75"/>
      <c r="J96" s="75"/>
      <c r="K96" s="75"/>
      <c r="L96" s="75"/>
      <c r="M96" s="40"/>
      <c r="N96" s="40"/>
      <c r="O96" s="164"/>
      <c r="P96" s="40"/>
      <c r="Q96" s="898">
        <f>IF(Q93=1,U87,IF(Q93=2,SUM(U87:V88),SUM(U87:V89)))</f>
        <v>0</v>
      </c>
      <c r="R96" s="899"/>
      <c r="Y96" s="20"/>
      <c r="AC96" s="303" t="s">
        <v>731</v>
      </c>
      <c r="AD96" s="299" t="s">
        <v>732</v>
      </c>
      <c r="AE96" s="299" t="s">
        <v>733</v>
      </c>
      <c r="AF96" s="299" t="s">
        <v>734</v>
      </c>
      <c r="AG96" s="299" t="s">
        <v>735</v>
      </c>
    </row>
    <row r="97" spans="2:33" x14ac:dyDescent="0.3">
      <c r="B97" s="19"/>
      <c r="C97" s="75" t="s">
        <v>715</v>
      </c>
      <c r="D97" s="75"/>
      <c r="E97" s="75"/>
      <c r="F97" s="75"/>
      <c r="G97" s="75"/>
      <c r="H97" s="75"/>
      <c r="I97" s="75"/>
      <c r="J97" s="75"/>
      <c r="K97" s="75"/>
      <c r="L97" s="75"/>
      <c r="M97" s="40"/>
      <c r="N97" s="40"/>
      <c r="O97" s="40"/>
      <c r="P97" s="40"/>
      <c r="Q97" s="40"/>
      <c r="R97" s="45"/>
      <c r="S97" s="774">
        <f>IF(COUNT(Q87:R89)&gt;=1,IF(Q93="",0,AG97),0)</f>
        <v>0</v>
      </c>
      <c r="T97" s="775"/>
      <c r="Y97" s="20"/>
      <c r="AC97" s="299">
        <f>(Q95-Q96)/4</f>
        <v>0</v>
      </c>
      <c r="AD97" s="299">
        <f>AC97*2</f>
        <v>0</v>
      </c>
      <c r="AE97" s="299">
        <f>AC97*3</f>
        <v>0</v>
      </c>
      <c r="AF97" s="299">
        <f>AC97*4</f>
        <v>0</v>
      </c>
      <c r="AG97" s="304">
        <f>IF(Q94&lt;Q96,5,IF(AND(Q94&gt;=Q96,Q94&lt;(Q96+AC97)),4,IF(AND(Q94&gt;=(Q96+AC97),Q94&lt;(Q96+AD97)),3,IF(AND(Q94&gt;=(Q96+AD97),Q94&lt;(Q96+AE97)),2,IF(AND(Q94&gt;=(Q96+AE97),Q94&lt;Q95),1,0)))))</f>
        <v>0</v>
      </c>
    </row>
    <row r="98" spans="2:33" x14ac:dyDescent="0.3">
      <c r="B98" s="19"/>
      <c r="C98" s="75" t="str">
        <f>"Surfaces en horticulture et pépinière"</f>
        <v>Surfaces en horticulture et pépinière</v>
      </c>
      <c r="D98" s="75"/>
      <c r="E98" s="75"/>
      <c r="F98" s="75"/>
      <c r="G98" s="75"/>
      <c r="H98" s="75"/>
      <c r="I98" s="75"/>
      <c r="J98" s="75"/>
      <c r="K98" s="75"/>
      <c r="L98" s="75"/>
      <c r="M98" s="40"/>
      <c r="N98" s="40"/>
      <c r="O98" s="40"/>
      <c r="P98" s="40"/>
      <c r="Q98" s="895">
        <f>Surfaces!O198</f>
        <v>0</v>
      </c>
      <c r="R98" s="896"/>
      <c r="W98" s="301"/>
      <c r="X98" s="301"/>
      <c r="Y98" s="20"/>
    </row>
    <row r="99" spans="2:33" x14ac:dyDescent="0.3">
      <c r="B99" s="19"/>
      <c r="C99" s="75" t="str">
        <f>"Total SAU"</f>
        <v>Total SAU</v>
      </c>
      <c r="D99" s="75"/>
      <c r="E99" s="75"/>
      <c r="F99" s="75"/>
      <c r="G99" s="75"/>
      <c r="H99" s="75"/>
      <c r="I99" s="75"/>
      <c r="J99" s="75"/>
      <c r="K99" s="75"/>
      <c r="L99" s="75"/>
      <c r="M99" s="40"/>
      <c r="N99" s="40"/>
      <c r="O99" s="40"/>
      <c r="P99" s="40"/>
      <c r="Q99" s="895">
        <f>cSAU</f>
        <v>0</v>
      </c>
      <c r="R99" s="896"/>
      <c r="S99" s="678" t="s">
        <v>3204</v>
      </c>
      <c r="T99" s="678"/>
      <c r="V99" s="680" t="s">
        <v>3205</v>
      </c>
      <c r="W99" s="680"/>
      <c r="X99" s="680"/>
      <c r="Y99" s="681"/>
    </row>
    <row r="100" spans="2:33" x14ac:dyDescent="0.3">
      <c r="B100" s="19"/>
      <c r="C100" s="75" t="s">
        <v>716</v>
      </c>
      <c r="D100" s="75"/>
      <c r="E100" s="75"/>
      <c r="F100" s="75"/>
      <c r="G100" s="75"/>
      <c r="H100" s="75"/>
      <c r="I100" s="75"/>
      <c r="J100" s="75"/>
      <c r="K100" s="75"/>
      <c r="L100" s="75"/>
      <c r="M100" s="40"/>
      <c r="N100" s="40"/>
      <c r="O100" s="40"/>
      <c r="P100" s="40"/>
      <c r="Q100" s="40"/>
      <c r="R100" s="45"/>
      <c r="S100" s="846">
        <f>IF(cSAU=0,0,IFERROR(S97*(Q98/Q99),0))</f>
        <v>0</v>
      </c>
      <c r="T100" s="847"/>
      <c r="W100" s="694">
        <f>IF(cSAU=0,5,5*(Q98/Q99))</f>
        <v>5</v>
      </c>
      <c r="X100" s="695"/>
      <c r="Y100" s="20"/>
    </row>
    <row r="101" spans="2:33" x14ac:dyDescent="0.3">
      <c r="B101" s="19"/>
      <c r="C101" s="42"/>
      <c r="K101" s="36"/>
      <c r="L101" s="36"/>
      <c r="M101" s="36"/>
      <c r="N101" s="36"/>
      <c r="O101" s="36"/>
      <c r="P101" s="36"/>
      <c r="Y101" s="20"/>
    </row>
    <row r="102" spans="2:33" x14ac:dyDescent="0.3">
      <c r="B102" s="19"/>
      <c r="C102" s="42"/>
      <c r="K102" s="36"/>
      <c r="L102" s="36"/>
      <c r="M102" s="36"/>
      <c r="N102" s="36"/>
      <c r="O102" s="36"/>
      <c r="P102" s="36"/>
      <c r="Y102" s="20"/>
    </row>
    <row r="103" spans="2:33" x14ac:dyDescent="0.3">
      <c r="B103" s="19"/>
      <c r="C103" s="70" t="s">
        <v>2472</v>
      </c>
      <c r="Y103" s="20"/>
    </row>
    <row r="104" spans="2:33" x14ac:dyDescent="0.3">
      <c r="B104" s="19"/>
      <c r="C104" s="652"/>
      <c r="D104" s="653"/>
      <c r="E104" s="653"/>
      <c r="F104" s="653"/>
      <c r="G104" s="653"/>
      <c r="H104" s="653"/>
      <c r="I104" s="653"/>
      <c r="J104" s="653"/>
      <c r="K104" s="653"/>
      <c r="L104" s="653"/>
      <c r="M104" s="653"/>
      <c r="N104" s="653"/>
      <c r="O104" s="653"/>
      <c r="P104" s="653"/>
      <c r="Q104" s="653"/>
      <c r="R104" s="653"/>
      <c r="S104" s="653"/>
      <c r="T104" s="653"/>
      <c r="U104" s="653"/>
      <c r="V104" s="653"/>
      <c r="W104" s="654"/>
      <c r="Y104" s="20"/>
    </row>
    <row r="105" spans="2:33" x14ac:dyDescent="0.3">
      <c r="B105" s="19"/>
      <c r="C105" s="655"/>
      <c r="D105" s="656"/>
      <c r="E105" s="656"/>
      <c r="F105" s="656"/>
      <c r="G105" s="656"/>
      <c r="H105" s="656"/>
      <c r="I105" s="656"/>
      <c r="J105" s="656"/>
      <c r="K105" s="656"/>
      <c r="L105" s="656"/>
      <c r="M105" s="656"/>
      <c r="N105" s="656"/>
      <c r="O105" s="656"/>
      <c r="P105" s="656"/>
      <c r="Q105" s="656"/>
      <c r="R105" s="656"/>
      <c r="S105" s="656"/>
      <c r="T105" s="656"/>
      <c r="U105" s="656"/>
      <c r="V105" s="656"/>
      <c r="W105" s="657"/>
      <c r="Y105" s="20"/>
    </row>
    <row r="106" spans="2:33" x14ac:dyDescent="0.3">
      <c r="B106" s="19"/>
      <c r="C106" s="655"/>
      <c r="D106" s="656"/>
      <c r="E106" s="656"/>
      <c r="F106" s="656"/>
      <c r="G106" s="656"/>
      <c r="H106" s="656"/>
      <c r="I106" s="656"/>
      <c r="J106" s="656"/>
      <c r="K106" s="656"/>
      <c r="L106" s="656"/>
      <c r="M106" s="656"/>
      <c r="N106" s="656"/>
      <c r="O106" s="656"/>
      <c r="P106" s="656"/>
      <c r="Q106" s="656"/>
      <c r="R106" s="656"/>
      <c r="S106" s="656"/>
      <c r="T106" s="656"/>
      <c r="U106" s="656"/>
      <c r="V106" s="656"/>
      <c r="W106" s="657"/>
      <c r="Y106" s="20"/>
    </row>
    <row r="107" spans="2:33" x14ac:dyDescent="0.3">
      <c r="B107" s="19"/>
      <c r="C107" s="655"/>
      <c r="D107" s="656"/>
      <c r="E107" s="656"/>
      <c r="F107" s="656"/>
      <c r="G107" s="656"/>
      <c r="H107" s="656"/>
      <c r="I107" s="656"/>
      <c r="J107" s="656"/>
      <c r="K107" s="656"/>
      <c r="L107" s="656"/>
      <c r="M107" s="656"/>
      <c r="N107" s="656"/>
      <c r="O107" s="656"/>
      <c r="P107" s="656"/>
      <c r="Q107" s="656"/>
      <c r="R107" s="656"/>
      <c r="S107" s="656"/>
      <c r="T107" s="656"/>
      <c r="U107" s="656"/>
      <c r="V107" s="656"/>
      <c r="W107" s="657"/>
      <c r="Y107" s="20"/>
    </row>
    <row r="108" spans="2:33" x14ac:dyDescent="0.3">
      <c r="B108" s="19"/>
      <c r="C108" s="658"/>
      <c r="D108" s="659"/>
      <c r="E108" s="659"/>
      <c r="F108" s="659"/>
      <c r="G108" s="659"/>
      <c r="H108" s="659"/>
      <c r="I108" s="659"/>
      <c r="J108" s="659"/>
      <c r="K108" s="659"/>
      <c r="L108" s="659"/>
      <c r="M108" s="659"/>
      <c r="N108" s="659"/>
      <c r="O108" s="659"/>
      <c r="P108" s="659"/>
      <c r="Q108" s="659"/>
      <c r="R108" s="659"/>
      <c r="S108" s="659"/>
      <c r="T108" s="659"/>
      <c r="U108" s="659"/>
      <c r="V108" s="659"/>
      <c r="W108" s="660"/>
      <c r="Y108" s="20"/>
    </row>
    <row r="109" spans="2:33" x14ac:dyDescent="0.3">
      <c r="B109" s="19"/>
      <c r="C109" s="42"/>
      <c r="K109" s="36"/>
      <c r="L109" s="36"/>
      <c r="M109" s="36"/>
      <c r="N109" s="36"/>
      <c r="O109" s="36"/>
      <c r="P109" s="36"/>
      <c r="Y109" s="20"/>
    </row>
    <row r="110" spans="2:33" ht="15" thickBot="1" x14ac:dyDescent="0.35">
      <c r="B110" s="22"/>
      <c r="C110" s="23"/>
      <c r="D110" s="23"/>
      <c r="E110" s="23"/>
      <c r="F110" s="23"/>
      <c r="G110" s="23"/>
      <c r="H110" s="23"/>
      <c r="I110" s="23"/>
      <c r="J110" s="23"/>
      <c r="K110" s="23"/>
      <c r="L110" s="23"/>
      <c r="M110" s="23"/>
      <c r="N110" s="23"/>
      <c r="O110" s="23"/>
      <c r="P110" s="23"/>
      <c r="Q110" s="23"/>
      <c r="R110" s="23"/>
      <c r="S110" s="23"/>
      <c r="T110" s="23"/>
      <c r="U110" s="23"/>
      <c r="V110" s="23"/>
      <c r="W110" s="23"/>
      <c r="X110" s="23"/>
      <c r="Y110" s="24"/>
    </row>
    <row r="113" spans="2:25" ht="15" thickBot="1" x14ac:dyDescent="0.35"/>
    <row r="114" spans="2:25" x14ac:dyDescent="0.3">
      <c r="B114" s="16"/>
      <c r="C114" s="17"/>
      <c r="D114" s="17"/>
      <c r="E114" s="17"/>
      <c r="F114" s="17"/>
      <c r="G114" s="17"/>
      <c r="H114" s="17"/>
      <c r="I114" s="17"/>
      <c r="J114" s="17"/>
      <c r="K114" s="17"/>
      <c r="L114" s="17"/>
      <c r="M114" s="17"/>
      <c r="N114" s="17"/>
      <c r="O114" s="17"/>
      <c r="P114" s="17"/>
      <c r="Q114" s="17"/>
      <c r="R114" s="17"/>
      <c r="S114" s="17"/>
      <c r="T114" s="17"/>
      <c r="U114" s="17"/>
      <c r="V114" s="17"/>
      <c r="W114" s="17"/>
      <c r="X114" s="17"/>
      <c r="Y114" s="18"/>
    </row>
    <row r="115" spans="2:25" x14ac:dyDescent="0.3">
      <c r="B115" s="19"/>
      <c r="Y115" s="20"/>
    </row>
    <row r="116" spans="2:25" x14ac:dyDescent="0.3">
      <c r="B116" s="19"/>
      <c r="C116" s="47" t="s">
        <v>2344</v>
      </c>
      <c r="D116" s="47"/>
      <c r="E116" s="47"/>
      <c r="F116" s="47"/>
      <c r="G116" s="47"/>
      <c r="H116" s="47"/>
      <c r="I116" s="47"/>
      <c r="J116" s="47"/>
      <c r="K116" s="47"/>
      <c r="L116" s="47"/>
      <c r="M116" s="43"/>
      <c r="N116" s="959"/>
      <c r="O116" s="959"/>
      <c r="Y116" s="20"/>
    </row>
    <row r="117" spans="2:25" x14ac:dyDescent="0.3">
      <c r="B117" s="19"/>
      <c r="C117" s="48" t="s">
        <v>2345</v>
      </c>
      <c r="D117" s="48"/>
      <c r="E117" s="48"/>
      <c r="F117" s="48"/>
      <c r="G117" s="48"/>
      <c r="H117" s="48"/>
      <c r="I117" s="48"/>
      <c r="J117" s="48"/>
      <c r="K117" s="48"/>
      <c r="L117" s="48"/>
      <c r="M117" s="44"/>
      <c r="N117" s="959"/>
      <c r="O117" s="959"/>
      <c r="Y117" s="20"/>
    </row>
    <row r="118" spans="2:25" x14ac:dyDescent="0.3">
      <c r="B118" s="19"/>
      <c r="Y118" s="20"/>
    </row>
    <row r="119" spans="2:25" x14ac:dyDescent="0.3">
      <c r="B119" s="19"/>
      <c r="C119" s="42"/>
      <c r="P119" s="678"/>
      <c r="Q119" s="678"/>
      <c r="Y119" s="20"/>
    </row>
    <row r="120" spans="2:25" x14ac:dyDescent="0.3">
      <c r="B120" s="19"/>
      <c r="Y120" s="20"/>
    </row>
    <row r="121" spans="2:25" x14ac:dyDescent="0.3">
      <c r="B121" s="19"/>
      <c r="C121" s="75" t="s">
        <v>722</v>
      </c>
      <c r="D121" s="40"/>
      <c r="E121" s="75"/>
      <c r="F121" s="75"/>
      <c r="G121" s="75"/>
      <c r="H121" s="40"/>
      <c r="I121" s="40"/>
      <c r="J121" s="40"/>
      <c r="K121" s="40"/>
      <c r="L121" s="40"/>
      <c r="M121" s="45"/>
      <c r="N121" s="962">
        <f>SUM(N116:O117)</f>
        <v>0</v>
      </c>
      <c r="O121" s="962"/>
      <c r="P121" s="678" t="s">
        <v>3204</v>
      </c>
      <c r="Q121" s="678"/>
      <c r="V121" s="680" t="s">
        <v>3205</v>
      </c>
      <c r="W121" s="680"/>
      <c r="X121" s="680"/>
      <c r="Y121" s="681"/>
    </row>
    <row r="122" spans="2:25" x14ac:dyDescent="0.3">
      <c r="B122" s="19"/>
      <c r="C122" s="76" t="s">
        <v>723</v>
      </c>
      <c r="D122" s="77"/>
      <c r="E122" s="76"/>
      <c r="F122" s="76"/>
      <c r="G122" s="76"/>
      <c r="H122" s="77"/>
      <c r="I122" s="77"/>
      <c r="J122" s="77"/>
      <c r="K122" s="77"/>
      <c r="L122" s="77"/>
      <c r="M122" s="78"/>
      <c r="N122" s="971">
        <f>IFERROR(N117/N121,0)</f>
        <v>0</v>
      </c>
      <c r="O122" s="971"/>
      <c r="P122" s="917">
        <f>IF(N122&gt;=0.55,4,IF(AND(N122&lt;0.55,N122&gt;=0.45),3,IF(AND(N122&lt;0.45,N122&gt;=0.35),2,IF(AND(N122&lt;0.35,N122&gt;=0.25),1,0))))</f>
        <v>0</v>
      </c>
      <c r="Q122" s="918"/>
      <c r="W122" s="694">
        <v>4</v>
      </c>
      <c r="X122" s="695"/>
      <c r="Y122" s="20"/>
    </row>
    <row r="123" spans="2:25" x14ac:dyDescent="0.3">
      <c r="B123" s="19"/>
      <c r="Y123" s="20"/>
    </row>
    <row r="124" spans="2:25" x14ac:dyDescent="0.3">
      <c r="B124" s="19"/>
      <c r="Y124" s="20"/>
    </row>
    <row r="125" spans="2:25" x14ac:dyDescent="0.3">
      <c r="B125" s="19"/>
      <c r="C125" s="70" t="s">
        <v>2472</v>
      </c>
      <c r="Y125" s="20"/>
    </row>
    <row r="126" spans="2:25" x14ac:dyDescent="0.3">
      <c r="B126" s="19"/>
      <c r="C126" s="652"/>
      <c r="D126" s="653"/>
      <c r="E126" s="653"/>
      <c r="F126" s="653"/>
      <c r="G126" s="653"/>
      <c r="H126" s="653"/>
      <c r="I126" s="653"/>
      <c r="J126" s="653"/>
      <c r="K126" s="653"/>
      <c r="L126" s="653"/>
      <c r="M126" s="653"/>
      <c r="N126" s="653"/>
      <c r="O126" s="653"/>
      <c r="P126" s="653"/>
      <c r="Q126" s="653"/>
      <c r="R126" s="653"/>
      <c r="S126" s="653"/>
      <c r="T126" s="653"/>
      <c r="U126" s="653"/>
      <c r="V126" s="653"/>
      <c r="W126" s="654"/>
      <c r="Y126" s="20"/>
    </row>
    <row r="127" spans="2:25" x14ac:dyDescent="0.3">
      <c r="B127" s="19"/>
      <c r="C127" s="655"/>
      <c r="D127" s="656"/>
      <c r="E127" s="656"/>
      <c r="F127" s="656"/>
      <c r="G127" s="656"/>
      <c r="H127" s="656"/>
      <c r="I127" s="656"/>
      <c r="J127" s="656"/>
      <c r="K127" s="656"/>
      <c r="L127" s="656"/>
      <c r="M127" s="656"/>
      <c r="N127" s="656"/>
      <c r="O127" s="656"/>
      <c r="P127" s="656"/>
      <c r="Q127" s="656"/>
      <c r="R127" s="656"/>
      <c r="S127" s="656"/>
      <c r="T127" s="656"/>
      <c r="U127" s="656"/>
      <c r="V127" s="656"/>
      <c r="W127" s="657"/>
      <c r="Y127" s="20"/>
    </row>
    <row r="128" spans="2:25" x14ac:dyDescent="0.3">
      <c r="B128" s="19"/>
      <c r="C128" s="655"/>
      <c r="D128" s="656"/>
      <c r="E128" s="656"/>
      <c r="F128" s="656"/>
      <c r="G128" s="656"/>
      <c r="H128" s="656"/>
      <c r="I128" s="656"/>
      <c r="J128" s="656"/>
      <c r="K128" s="656"/>
      <c r="L128" s="656"/>
      <c r="M128" s="656"/>
      <c r="N128" s="656"/>
      <c r="O128" s="656"/>
      <c r="P128" s="656"/>
      <c r="Q128" s="656"/>
      <c r="R128" s="656"/>
      <c r="S128" s="656"/>
      <c r="T128" s="656"/>
      <c r="U128" s="656"/>
      <c r="V128" s="656"/>
      <c r="W128" s="657"/>
      <c r="Y128" s="20"/>
    </row>
    <row r="129" spans="2:25" x14ac:dyDescent="0.3">
      <c r="B129" s="19"/>
      <c r="C129" s="655"/>
      <c r="D129" s="656"/>
      <c r="E129" s="656"/>
      <c r="F129" s="656"/>
      <c r="G129" s="656"/>
      <c r="H129" s="656"/>
      <c r="I129" s="656"/>
      <c r="J129" s="656"/>
      <c r="K129" s="656"/>
      <c r="L129" s="656"/>
      <c r="M129" s="656"/>
      <c r="N129" s="656"/>
      <c r="O129" s="656"/>
      <c r="P129" s="656"/>
      <c r="Q129" s="656"/>
      <c r="R129" s="656"/>
      <c r="S129" s="656"/>
      <c r="T129" s="656"/>
      <c r="U129" s="656"/>
      <c r="V129" s="656"/>
      <c r="W129" s="657"/>
      <c r="Y129" s="20"/>
    </row>
    <row r="130" spans="2:25" x14ac:dyDescent="0.3">
      <c r="B130" s="19"/>
      <c r="C130" s="658"/>
      <c r="D130" s="659"/>
      <c r="E130" s="659"/>
      <c r="F130" s="659"/>
      <c r="G130" s="659"/>
      <c r="H130" s="659"/>
      <c r="I130" s="659"/>
      <c r="J130" s="659"/>
      <c r="K130" s="659"/>
      <c r="L130" s="659"/>
      <c r="M130" s="659"/>
      <c r="N130" s="659"/>
      <c r="O130" s="659"/>
      <c r="P130" s="659"/>
      <c r="Q130" s="659"/>
      <c r="R130" s="659"/>
      <c r="S130" s="659"/>
      <c r="T130" s="659"/>
      <c r="U130" s="659"/>
      <c r="V130" s="659"/>
      <c r="W130" s="660"/>
      <c r="Y130" s="20"/>
    </row>
    <row r="131" spans="2:25" x14ac:dyDescent="0.3">
      <c r="B131" s="19"/>
      <c r="Y131" s="20"/>
    </row>
    <row r="132" spans="2:25" ht="15" thickBot="1" x14ac:dyDescent="0.35">
      <c r="B132" s="22"/>
      <c r="C132" s="23"/>
      <c r="D132" s="23"/>
      <c r="E132" s="23"/>
      <c r="F132" s="23"/>
      <c r="G132" s="23"/>
      <c r="H132" s="23"/>
      <c r="I132" s="23"/>
      <c r="J132" s="23"/>
      <c r="K132" s="23"/>
      <c r="L132" s="23"/>
      <c r="M132" s="23"/>
      <c r="N132" s="23"/>
      <c r="O132" s="23"/>
      <c r="P132" s="23"/>
      <c r="Q132" s="23"/>
      <c r="R132" s="23"/>
      <c r="S132" s="23"/>
      <c r="T132" s="23"/>
      <c r="U132" s="23"/>
      <c r="V132" s="23"/>
      <c r="W132" s="23"/>
      <c r="X132" s="23"/>
      <c r="Y132" s="24"/>
    </row>
    <row r="135" spans="2:25" ht="15" thickBot="1" x14ac:dyDescent="0.35"/>
    <row r="136" spans="2:25" x14ac:dyDescent="0.3">
      <c r="B136" s="16"/>
      <c r="C136" s="17"/>
      <c r="D136" s="17"/>
      <c r="E136" s="17"/>
      <c r="F136" s="17"/>
      <c r="G136" s="17"/>
      <c r="H136" s="17"/>
      <c r="I136" s="17"/>
      <c r="J136" s="17"/>
      <c r="K136" s="17"/>
      <c r="L136" s="17"/>
      <c r="M136" s="17"/>
      <c r="N136" s="17"/>
      <c r="O136" s="17"/>
      <c r="P136" s="17"/>
      <c r="Q136" s="17"/>
      <c r="R136" s="17"/>
      <c r="S136" s="17"/>
      <c r="T136" s="17"/>
      <c r="U136" s="17"/>
      <c r="V136" s="17"/>
      <c r="W136" s="17"/>
      <c r="X136" s="17"/>
      <c r="Y136" s="18"/>
    </row>
    <row r="137" spans="2:25" x14ac:dyDescent="0.3">
      <c r="B137" s="19"/>
      <c r="Y137" s="20"/>
    </row>
    <row r="138" spans="2:25" x14ac:dyDescent="0.3">
      <c r="B138" s="19"/>
      <c r="C138" s="70" t="s">
        <v>327</v>
      </c>
      <c r="Y138" s="20"/>
    </row>
    <row r="139" spans="2:25" x14ac:dyDescent="0.3">
      <c r="B139" s="19"/>
      <c r="D139" s="42" t="s">
        <v>3213</v>
      </c>
      <c r="K139" s="679" t="s">
        <v>2538</v>
      </c>
      <c r="L139" s="679"/>
      <c r="M139" s="679"/>
      <c r="N139" s="679"/>
      <c r="Y139" s="20"/>
    </row>
    <row r="140" spans="2:25" x14ac:dyDescent="0.3">
      <c r="B140" s="19"/>
      <c r="E140" s="47" t="s">
        <v>593</v>
      </c>
      <c r="F140" s="47"/>
      <c r="G140" s="47"/>
      <c r="H140" s="47"/>
      <c r="I140" s="47"/>
      <c r="J140" s="47"/>
      <c r="K140" s="43"/>
      <c r="L140" s="961"/>
      <c r="M140" s="961"/>
      <c r="O140" s="141" t="str">
        <f>IF(L140&gt;$N$161,"Attention : surface saisie &gt; surfaces cultures principales grandes cultures","")</f>
        <v/>
      </c>
      <c r="Y140" s="20"/>
    </row>
    <row r="141" spans="2:25" x14ac:dyDescent="0.3">
      <c r="B141" s="19"/>
      <c r="E141" s="48" t="s">
        <v>594</v>
      </c>
      <c r="F141" s="48"/>
      <c r="G141" s="48"/>
      <c r="H141" s="48"/>
      <c r="I141" s="48"/>
      <c r="J141" s="48"/>
      <c r="K141" s="44"/>
      <c r="L141" s="961"/>
      <c r="M141" s="961"/>
      <c r="O141" s="141" t="str">
        <f>IF(L141&gt;$N$161,"Attention : surface saisie &gt; surfaces cultures principales grandes cultures","")</f>
        <v/>
      </c>
      <c r="Y141" s="20"/>
    </row>
    <row r="142" spans="2:25" x14ac:dyDescent="0.3">
      <c r="B142" s="19"/>
      <c r="E142" s="48" t="s">
        <v>329</v>
      </c>
      <c r="F142" s="48"/>
      <c r="G142" s="48"/>
      <c r="H142" s="48"/>
      <c r="I142" s="48"/>
      <c r="J142" s="48"/>
      <c r="K142" s="44"/>
      <c r="L142" s="961"/>
      <c r="M142" s="961"/>
      <c r="O142" s="141" t="str">
        <f>IF(L142&gt;$N$161,"Attention : surface saisie &gt; surfaces cultures principales grandes cultures","")</f>
        <v/>
      </c>
      <c r="Y142" s="20"/>
    </row>
    <row r="143" spans="2:25" x14ac:dyDescent="0.3">
      <c r="B143" s="19"/>
      <c r="E143" s="48" t="s">
        <v>595</v>
      </c>
      <c r="F143" s="48"/>
      <c r="G143" s="48"/>
      <c r="H143" s="48"/>
      <c r="I143" s="48"/>
      <c r="J143" s="48"/>
      <c r="K143" s="44"/>
      <c r="L143" s="961"/>
      <c r="M143" s="961"/>
      <c r="O143" s="141" t="str">
        <f>IF(L143&gt;N160,"Attention : surface saisie &gt; surface en blé","")</f>
        <v/>
      </c>
      <c r="Y143" s="20"/>
    </row>
    <row r="144" spans="2:25" x14ac:dyDescent="0.3">
      <c r="B144" s="19"/>
      <c r="Y144" s="20"/>
    </row>
    <row r="145" spans="2:25" x14ac:dyDescent="0.3">
      <c r="B145" s="19"/>
      <c r="D145" s="42" t="s">
        <v>331</v>
      </c>
      <c r="Y145" s="20"/>
    </row>
    <row r="146" spans="2:25" x14ac:dyDescent="0.3">
      <c r="B146" s="19"/>
      <c r="E146" s="47" t="s">
        <v>593</v>
      </c>
      <c r="F146" s="47"/>
      <c r="G146" s="47"/>
      <c r="H146" s="47"/>
      <c r="I146" s="47"/>
      <c r="J146" s="47"/>
      <c r="K146" s="43"/>
      <c r="L146" s="961"/>
      <c r="M146" s="961"/>
      <c r="O146" s="141" t="str">
        <f>IF(L146&gt;$N$162,"Attention : surface saisie &gt; surface cultures principales vigne, arboriculture, maraîchage","")</f>
        <v/>
      </c>
      <c r="Y146" s="20"/>
    </row>
    <row r="147" spans="2:25" x14ac:dyDescent="0.3">
      <c r="B147" s="19"/>
      <c r="E147" s="48" t="s">
        <v>594</v>
      </c>
      <c r="F147" s="48"/>
      <c r="G147" s="48"/>
      <c r="H147" s="48"/>
      <c r="I147" s="48"/>
      <c r="J147" s="48"/>
      <c r="K147" s="44"/>
      <c r="L147" s="961"/>
      <c r="M147" s="961"/>
      <c r="O147" s="141" t="str">
        <f>IF(L147&gt;$N$162,"Attention : surface saisie &gt; surface cultures principales vigne, arboriculture, maraîchage","")</f>
        <v/>
      </c>
      <c r="Y147" s="20"/>
    </row>
    <row r="148" spans="2:25" x14ac:dyDescent="0.3">
      <c r="B148" s="19"/>
      <c r="E148" s="48" t="s">
        <v>329</v>
      </c>
      <c r="F148" s="48"/>
      <c r="G148" s="48"/>
      <c r="H148" s="48"/>
      <c r="I148" s="48"/>
      <c r="J148" s="48"/>
      <c r="K148" s="44"/>
      <c r="L148" s="961"/>
      <c r="M148" s="961"/>
      <c r="O148" s="141" t="str">
        <f>IF(L148&gt;$N$162,"Attention : surface saisie &gt; surface cultures principales vigne, arboriculture, maraîchage","")</f>
        <v/>
      </c>
      <c r="Y148" s="20"/>
    </row>
    <row r="149" spans="2:25" x14ac:dyDescent="0.3">
      <c r="B149" s="19"/>
      <c r="Y149" s="20"/>
    </row>
    <row r="150" spans="2:25" x14ac:dyDescent="0.3">
      <c r="B150" s="19"/>
      <c r="C150" s="70" t="s">
        <v>332</v>
      </c>
      <c r="K150" s="679" t="s">
        <v>2538</v>
      </c>
      <c r="L150" s="679"/>
      <c r="M150" s="679"/>
      <c r="N150" s="679"/>
      <c r="Y150" s="20"/>
    </row>
    <row r="151" spans="2:25" x14ac:dyDescent="0.3">
      <c r="B151" s="19"/>
      <c r="D151" s="47" t="s">
        <v>728</v>
      </c>
      <c r="E151" s="47"/>
      <c r="F151" s="47"/>
      <c r="G151" s="47"/>
      <c r="H151" s="47"/>
      <c r="I151" s="47"/>
      <c r="J151" s="47"/>
      <c r="K151" s="43"/>
      <c r="L151" s="961"/>
      <c r="M151" s="961"/>
      <c r="O151" s="141" t="str">
        <f>IF(L151&gt;$N$163,"Attention : surface saisie &gt; surface en cultures mineures","")</f>
        <v/>
      </c>
      <c r="Y151" s="20"/>
    </row>
    <row r="152" spans="2:25" x14ac:dyDescent="0.3">
      <c r="B152" s="19"/>
      <c r="D152" s="48" t="s">
        <v>727</v>
      </c>
      <c r="E152" s="48"/>
      <c r="F152" s="48"/>
      <c r="G152" s="48"/>
      <c r="H152" s="48"/>
      <c r="I152" s="48"/>
      <c r="J152" s="48"/>
      <c r="K152" s="44"/>
      <c r="L152" s="961"/>
      <c r="M152" s="961"/>
      <c r="O152" s="141" t="str">
        <f>IF(L152&gt;$N$163,"Attention : surface saisie &gt; surface en cultures mineures","")</f>
        <v/>
      </c>
      <c r="Y152" s="20"/>
    </row>
    <row r="153" spans="2:25" x14ac:dyDescent="0.3">
      <c r="B153" s="19"/>
      <c r="Y153" s="20"/>
    </row>
    <row r="154" spans="2:25" x14ac:dyDescent="0.3">
      <c r="B154" s="19"/>
      <c r="Y154" s="20"/>
    </row>
    <row r="155" spans="2:25" x14ac:dyDescent="0.3">
      <c r="B155" s="19"/>
      <c r="Y155" s="20"/>
    </row>
    <row r="156" spans="2:25" x14ac:dyDescent="0.3">
      <c r="B156" s="19"/>
      <c r="C156" s="42"/>
      <c r="P156" s="678"/>
      <c r="Q156" s="678"/>
      <c r="Y156" s="20"/>
    </row>
    <row r="157" spans="2:25" x14ac:dyDescent="0.3">
      <c r="B157" s="19"/>
      <c r="C157" s="42"/>
      <c r="N157" s="94"/>
      <c r="O157" s="94"/>
      <c r="Y157" s="20"/>
    </row>
    <row r="158" spans="2:25" x14ac:dyDescent="0.3">
      <c r="B158" s="19"/>
      <c r="C158" s="70" t="s">
        <v>2346</v>
      </c>
      <c r="N158" s="94"/>
      <c r="O158" s="94"/>
      <c r="Y158" s="20"/>
    </row>
    <row r="159" spans="2:25" x14ac:dyDescent="0.3">
      <c r="B159" s="19"/>
      <c r="D159" s="75" t="s">
        <v>294</v>
      </c>
      <c r="E159" s="75"/>
      <c r="F159" s="75"/>
      <c r="G159" s="75"/>
      <c r="H159" s="75"/>
      <c r="I159" s="75"/>
      <c r="J159" s="75"/>
      <c r="K159" s="75"/>
      <c r="L159" s="40"/>
      <c r="M159" s="45"/>
      <c r="N159" s="963">
        <f>Surfaces!O25</f>
        <v>0</v>
      </c>
      <c r="O159" s="963"/>
      <c r="Y159" s="20"/>
    </row>
    <row r="160" spans="2:25" x14ac:dyDescent="0.3">
      <c r="B160" s="19"/>
      <c r="D160" s="76" t="s">
        <v>448</v>
      </c>
      <c r="E160" s="76"/>
      <c r="F160" s="76"/>
      <c r="G160" s="76"/>
      <c r="H160" s="76"/>
      <c r="I160" s="76"/>
      <c r="J160" s="76"/>
      <c r="K160" s="76"/>
      <c r="L160" s="77"/>
      <c r="M160" s="78"/>
      <c r="N160" s="963">
        <f>Surfaces!O77+Surfaces!O78</f>
        <v>0</v>
      </c>
      <c r="O160" s="963"/>
      <c r="Y160" s="20"/>
    </row>
    <row r="161" spans="2:25" x14ac:dyDescent="0.3">
      <c r="B161" s="19"/>
      <c r="D161" s="76" t="s">
        <v>2347</v>
      </c>
      <c r="E161" s="76"/>
      <c r="F161" s="76"/>
      <c r="G161" s="76"/>
      <c r="H161" s="76"/>
      <c r="I161" s="76"/>
      <c r="J161" s="76"/>
      <c r="K161" s="76"/>
      <c r="L161" s="77"/>
      <c r="M161" s="78"/>
      <c r="N161" s="961"/>
      <c r="O161" s="961"/>
      <c r="Q161" s="141" t="str">
        <f>IF(SUM(N161:O163)&gt;$N$159,"Attention : surface cultures principales + cultures mineures &gt; SAU","")</f>
        <v/>
      </c>
      <c r="Y161" s="20"/>
    </row>
    <row r="162" spans="2:25" x14ac:dyDescent="0.3">
      <c r="B162" s="19"/>
      <c r="D162" s="76" t="s">
        <v>599</v>
      </c>
      <c r="E162" s="76"/>
      <c r="F162" s="76"/>
      <c r="G162" s="76"/>
      <c r="H162" s="76"/>
      <c r="I162" s="76"/>
      <c r="J162" s="76"/>
      <c r="K162" s="76"/>
      <c r="L162" s="77"/>
      <c r="M162" s="78"/>
      <c r="N162" s="833"/>
      <c r="O162" s="834"/>
      <c r="Q162" s="141" t="str">
        <f>IF(SUM(N161:O163)&gt;$N$159,"Attention : surface cultures principales + cultures mineures &gt; SAU","")</f>
        <v/>
      </c>
      <c r="Y162" s="20"/>
    </row>
    <row r="163" spans="2:25" x14ac:dyDescent="0.3">
      <c r="B163" s="19"/>
      <c r="D163" s="76" t="s">
        <v>598</v>
      </c>
      <c r="E163" s="76"/>
      <c r="F163" s="76"/>
      <c r="G163" s="76"/>
      <c r="H163" s="76"/>
      <c r="I163" s="76"/>
      <c r="J163" s="76"/>
      <c r="K163" s="76"/>
      <c r="L163" s="77"/>
      <c r="M163" s="78"/>
      <c r="N163" s="963">
        <f>M58</f>
        <v>0</v>
      </c>
      <c r="O163" s="963"/>
      <c r="Q163" s="141" t="str">
        <f>IF(SUM(N161:O163)&gt;$N$159,"Attention : surface cultures principales + cultures mineures &gt; SAU","")</f>
        <v/>
      </c>
      <c r="Y163" s="20"/>
    </row>
    <row r="164" spans="2:25" x14ac:dyDescent="0.3">
      <c r="B164" s="19"/>
      <c r="D164" s="65"/>
      <c r="E164" s="65"/>
      <c r="F164" s="65"/>
      <c r="G164" s="65"/>
      <c r="H164" s="65"/>
      <c r="I164" s="65"/>
      <c r="J164" s="65"/>
      <c r="K164" s="65"/>
      <c r="N164" s="445" t="s">
        <v>2788</v>
      </c>
      <c r="O164" s="36"/>
      <c r="Y164" s="20"/>
    </row>
    <row r="165" spans="2:25" x14ac:dyDescent="0.3">
      <c r="B165" s="19"/>
      <c r="D165" s="65"/>
      <c r="E165" s="65"/>
      <c r="F165" s="65"/>
      <c r="G165" s="65"/>
      <c r="H165" s="65"/>
      <c r="I165" s="65"/>
      <c r="J165" s="65"/>
      <c r="K165" s="65"/>
      <c r="N165" s="151"/>
      <c r="O165" s="36"/>
      <c r="Y165" s="20"/>
    </row>
    <row r="166" spans="2:25" x14ac:dyDescent="0.3">
      <c r="B166" s="19"/>
      <c r="C166" s="70" t="s">
        <v>327</v>
      </c>
      <c r="D166" s="65"/>
      <c r="E166" s="65"/>
      <c r="F166" s="65"/>
      <c r="G166" s="65"/>
      <c r="H166" s="65"/>
      <c r="I166" s="65"/>
      <c r="J166" s="65"/>
      <c r="K166" s="65"/>
      <c r="N166" s="151"/>
      <c r="O166" s="36"/>
      <c r="Y166" s="20"/>
    </row>
    <row r="167" spans="2:25" x14ac:dyDescent="0.3">
      <c r="B167" s="19"/>
      <c r="D167" s="42" t="s">
        <v>3213</v>
      </c>
      <c r="E167" s="65"/>
      <c r="F167" s="65"/>
      <c r="G167" s="65"/>
      <c r="H167" s="65"/>
      <c r="I167" s="65"/>
      <c r="J167" s="65"/>
      <c r="K167" s="65"/>
      <c r="N167" s="114"/>
      <c r="O167" s="114"/>
      <c r="P167" s="678" t="s">
        <v>3204</v>
      </c>
      <c r="Q167" s="678"/>
      <c r="Y167" s="20"/>
    </row>
    <row r="168" spans="2:25" x14ac:dyDescent="0.3">
      <c r="B168" s="19"/>
      <c r="E168" s="75" t="s">
        <v>2348</v>
      </c>
      <c r="F168" s="75"/>
      <c r="G168" s="75"/>
      <c r="H168" s="75"/>
      <c r="I168" s="75"/>
      <c r="J168" s="75"/>
      <c r="K168" s="75"/>
      <c r="L168" s="40"/>
      <c r="M168" s="45"/>
      <c r="N168" s="962" t="str">
        <f>IF(L140&gt;0,"Oui","Non")</f>
        <v>Non</v>
      </c>
      <c r="O168" s="962"/>
      <c r="P168" s="835">
        <f>IF(N168="Oui",1,0)</f>
        <v>0</v>
      </c>
      <c r="Q168" s="836"/>
      <c r="Y168" s="20"/>
    </row>
    <row r="169" spans="2:25" x14ac:dyDescent="0.3">
      <c r="B169" s="19"/>
      <c r="E169" s="76" t="s">
        <v>2523</v>
      </c>
      <c r="F169" s="76"/>
      <c r="G169" s="76"/>
      <c r="H169" s="76"/>
      <c r="I169" s="76"/>
      <c r="J169" s="76"/>
      <c r="K169" s="76"/>
      <c r="L169" s="77"/>
      <c r="M169" s="78"/>
      <c r="N169" s="958">
        <f>IFERROR(L141/(N161),0)</f>
        <v>0</v>
      </c>
      <c r="O169" s="958"/>
      <c r="P169" s="835">
        <f>IF(AND(N168="Oui",N169&gt;=0.5),1,0)</f>
        <v>0</v>
      </c>
      <c r="Q169" s="836"/>
      <c r="Y169" s="20"/>
    </row>
    <row r="170" spans="2:25" x14ac:dyDescent="0.3">
      <c r="B170" s="19"/>
      <c r="E170" s="76" t="s">
        <v>596</v>
      </c>
      <c r="F170" s="76"/>
      <c r="G170" s="76"/>
      <c r="H170" s="76"/>
      <c r="I170" s="76"/>
      <c r="J170" s="76"/>
      <c r="K170" s="76"/>
      <c r="L170" s="77"/>
      <c r="M170" s="78"/>
      <c r="N170" s="958">
        <f>IFERROR(L142/N161,0)</f>
        <v>0</v>
      </c>
      <c r="O170" s="958"/>
      <c r="P170" s="835">
        <f>IF(AND(N168="Oui",N170&gt;=0.5),1,0)</f>
        <v>0</v>
      </c>
      <c r="Q170" s="836"/>
      <c r="Y170" s="20"/>
    </row>
    <row r="171" spans="2:25" x14ac:dyDescent="0.3">
      <c r="B171" s="19"/>
      <c r="E171" s="76" t="s">
        <v>597</v>
      </c>
      <c r="F171" s="76"/>
      <c r="G171" s="76"/>
      <c r="H171" s="76"/>
      <c r="I171" s="76"/>
      <c r="J171" s="76"/>
      <c r="K171" s="76"/>
      <c r="L171" s="77"/>
      <c r="M171" s="78"/>
      <c r="N171" s="958">
        <f>IFERROR(L143/N160,0)</f>
        <v>0</v>
      </c>
      <c r="O171" s="958"/>
      <c r="P171" s="835">
        <f>IFERROR(IF(OR(L143="",L143=0),0,MIN(3*(L143/N161),3)),0)</f>
        <v>0</v>
      </c>
      <c r="Q171" s="836"/>
      <c r="Y171" s="20"/>
    </row>
    <row r="172" spans="2:25" x14ac:dyDescent="0.3">
      <c r="B172" s="19"/>
      <c r="E172" s="65"/>
      <c r="F172" s="65"/>
      <c r="G172" s="65"/>
      <c r="H172" s="65"/>
      <c r="I172" s="65"/>
      <c r="J172" s="65"/>
      <c r="K172" s="65"/>
      <c r="N172" s="153"/>
      <c r="O172" s="36"/>
      <c r="Y172" s="20"/>
    </row>
    <row r="173" spans="2:25" x14ac:dyDescent="0.3">
      <c r="B173" s="19"/>
      <c r="E173" s="75" t="s">
        <v>3111</v>
      </c>
      <c r="F173" s="75"/>
      <c r="G173" s="75"/>
      <c r="H173" s="75"/>
      <c r="I173" s="75"/>
      <c r="J173" s="75"/>
      <c r="K173" s="75"/>
      <c r="L173" s="75"/>
      <c r="M173" s="75"/>
      <c r="N173" s="302"/>
      <c r="O173" s="302"/>
      <c r="P173" s="774">
        <f>IFERROR(IF(N161=0,0,SUM(P168:Q171)),0)</f>
        <v>0</v>
      </c>
      <c r="Q173" s="775"/>
      <c r="Y173" s="20"/>
    </row>
    <row r="174" spans="2:25" x14ac:dyDescent="0.3">
      <c r="B174" s="19"/>
      <c r="E174" s="65"/>
      <c r="F174" s="65"/>
      <c r="G174" s="65"/>
      <c r="H174" s="65"/>
      <c r="I174" s="65"/>
      <c r="J174" s="65"/>
      <c r="K174" s="65"/>
      <c r="N174" s="153"/>
      <c r="O174" s="36"/>
      <c r="Y174" s="20"/>
    </row>
    <row r="175" spans="2:25" x14ac:dyDescent="0.3">
      <c r="B175" s="19"/>
      <c r="D175" s="42" t="s">
        <v>331</v>
      </c>
      <c r="E175" s="65"/>
      <c r="F175" s="65"/>
      <c r="G175" s="65"/>
      <c r="H175" s="65"/>
      <c r="I175" s="65"/>
      <c r="J175" s="65"/>
      <c r="K175" s="65"/>
      <c r="N175" s="153"/>
      <c r="O175" s="36"/>
      <c r="P175" s="102"/>
      <c r="Q175" s="102"/>
      <c r="Y175" s="20"/>
    </row>
    <row r="176" spans="2:25" x14ac:dyDescent="0.3">
      <c r="B176" s="19"/>
      <c r="E176" s="75" t="s">
        <v>2522</v>
      </c>
      <c r="F176" s="75"/>
      <c r="G176" s="75"/>
      <c r="H176" s="75"/>
      <c r="I176" s="75"/>
      <c r="J176" s="75"/>
      <c r="K176" s="75"/>
      <c r="L176" s="40"/>
      <c r="M176" s="45"/>
      <c r="N176" s="958">
        <f>IFERROR(L146/N162,0)</f>
        <v>0</v>
      </c>
      <c r="O176" s="958"/>
      <c r="P176" s="835">
        <f>IFERROR(IF(N176&gt;=0.5,(N176*1.5),0),0)</f>
        <v>0</v>
      </c>
      <c r="Q176" s="836"/>
      <c r="Y176" s="20"/>
    </row>
    <row r="177" spans="2:25" x14ac:dyDescent="0.3">
      <c r="B177" s="19"/>
      <c r="E177" s="76" t="s">
        <v>2524</v>
      </c>
      <c r="F177" s="76"/>
      <c r="G177" s="76"/>
      <c r="H177" s="76"/>
      <c r="I177" s="76"/>
      <c r="J177" s="76"/>
      <c r="K177" s="76"/>
      <c r="L177" s="77"/>
      <c r="M177" s="78"/>
      <c r="N177" s="958">
        <f>IFERROR((L147+L148)/N162,0)</f>
        <v>0</v>
      </c>
      <c r="O177" s="958"/>
      <c r="P177" s="835">
        <f>IFERROR(IF(N177&gt;=0.5,N177*1.5,0),0)</f>
        <v>0</v>
      </c>
      <c r="Q177" s="836"/>
      <c r="Y177" s="20"/>
    </row>
    <row r="178" spans="2:25" x14ac:dyDescent="0.3">
      <c r="B178" s="19"/>
      <c r="E178" s="65"/>
      <c r="F178" s="65"/>
      <c r="G178" s="65"/>
      <c r="H178" s="65"/>
      <c r="I178" s="65"/>
      <c r="J178" s="65"/>
      <c r="K178" s="65"/>
      <c r="N178" s="137"/>
      <c r="O178" s="137"/>
      <c r="P178" s="102"/>
      <c r="Q178" s="102"/>
      <c r="Y178" s="20"/>
    </row>
    <row r="179" spans="2:25" x14ac:dyDescent="0.3">
      <c r="B179" s="19"/>
      <c r="E179" s="75" t="s">
        <v>3112</v>
      </c>
      <c r="F179" s="75"/>
      <c r="G179" s="75"/>
      <c r="H179" s="75"/>
      <c r="I179" s="75"/>
      <c r="J179" s="75"/>
      <c r="K179" s="75"/>
      <c r="L179" s="75"/>
      <c r="M179" s="75"/>
      <c r="N179" s="302"/>
      <c r="O179" s="302"/>
      <c r="P179" s="774">
        <f>IFERROR(IF(N162=0,0,SUM(P176:Q177)),0)</f>
        <v>0</v>
      </c>
      <c r="Q179" s="775"/>
      <c r="Y179" s="20"/>
    </row>
    <row r="180" spans="2:25" x14ac:dyDescent="0.3">
      <c r="B180" s="19"/>
      <c r="E180" s="65"/>
      <c r="F180" s="65"/>
      <c r="G180" s="65"/>
      <c r="H180" s="65"/>
      <c r="I180" s="65"/>
      <c r="J180" s="65"/>
      <c r="K180" s="65"/>
      <c r="N180" s="137"/>
      <c r="O180" s="137"/>
      <c r="P180" s="102"/>
      <c r="Q180" s="102"/>
      <c r="Y180" s="20"/>
    </row>
    <row r="181" spans="2:25" x14ac:dyDescent="0.3">
      <c r="B181" s="19"/>
      <c r="D181" s="75" t="s">
        <v>724</v>
      </c>
      <c r="E181" s="75"/>
      <c r="F181" s="75"/>
      <c r="G181" s="75"/>
      <c r="H181" s="75"/>
      <c r="I181" s="75"/>
      <c r="J181" s="75"/>
      <c r="K181" s="75"/>
      <c r="L181" s="75"/>
      <c r="M181" s="75"/>
      <c r="N181" s="302"/>
      <c r="O181" s="302"/>
      <c r="P181" s="835">
        <f>MIN(SUM(P168:Q171,P176:Q177),3)</f>
        <v>0</v>
      </c>
      <c r="Q181" s="849"/>
      <c r="Y181" s="20"/>
    </row>
    <row r="182" spans="2:25" x14ac:dyDescent="0.3">
      <c r="B182" s="19"/>
      <c r="D182" s="65"/>
      <c r="E182" s="65"/>
      <c r="F182" s="65"/>
      <c r="G182" s="65"/>
      <c r="H182" s="65"/>
      <c r="I182" s="65"/>
      <c r="J182" s="65"/>
      <c r="K182" s="65"/>
      <c r="N182" s="153"/>
      <c r="O182" s="36"/>
      <c r="P182" s="102"/>
      <c r="Q182" s="102"/>
      <c r="Y182" s="20"/>
    </row>
    <row r="183" spans="2:25" x14ac:dyDescent="0.3">
      <c r="B183" s="19"/>
      <c r="C183" s="70" t="s">
        <v>332</v>
      </c>
      <c r="D183" s="65"/>
      <c r="E183" s="65"/>
      <c r="F183" s="65"/>
      <c r="G183" s="65"/>
      <c r="H183" s="65"/>
      <c r="I183" s="65"/>
      <c r="J183" s="65"/>
      <c r="K183" s="65"/>
      <c r="N183" s="153"/>
      <c r="O183" s="36"/>
      <c r="P183" s="102"/>
      <c r="Q183" s="102"/>
      <c r="Y183" s="20"/>
    </row>
    <row r="184" spans="2:25" x14ac:dyDescent="0.3">
      <c r="B184" s="19"/>
      <c r="D184" s="75" t="s">
        <v>2525</v>
      </c>
      <c r="E184" s="75"/>
      <c r="F184" s="75"/>
      <c r="G184" s="75"/>
      <c r="H184" s="75"/>
      <c r="I184" s="75"/>
      <c r="J184" s="75"/>
      <c r="K184" s="75"/>
      <c r="L184" s="40"/>
      <c r="M184" s="45"/>
      <c r="N184" s="958">
        <f>IFERROR(L151/N163,0)</f>
        <v>0</v>
      </c>
      <c r="O184" s="958"/>
      <c r="P184" s="774">
        <f>IFERROR(MIN(ROUNDUP(MAX(N184-30%,0)/10%,0),7),0)</f>
        <v>0</v>
      </c>
      <c r="Q184" s="775"/>
      <c r="Y184" s="20"/>
    </row>
    <row r="185" spans="2:25" x14ac:dyDescent="0.3">
      <c r="B185" s="19"/>
      <c r="D185" s="75" t="s">
        <v>725</v>
      </c>
      <c r="E185" s="75"/>
      <c r="F185" s="75"/>
      <c r="G185" s="75"/>
      <c r="H185" s="75"/>
      <c r="I185" s="75"/>
      <c r="J185" s="75"/>
      <c r="K185" s="75"/>
      <c r="L185" s="40"/>
      <c r="M185" s="45"/>
      <c r="N185" s="964">
        <f>IFERROR(L152/N163,0)</f>
        <v>0</v>
      </c>
      <c r="O185" s="964"/>
      <c r="P185" s="774">
        <f>IF(N185&gt;0.5,1,0)</f>
        <v>0</v>
      </c>
      <c r="Q185" s="775"/>
      <c r="Y185" s="20"/>
    </row>
    <row r="186" spans="2:25" x14ac:dyDescent="0.3">
      <c r="B186" s="19"/>
      <c r="D186" s="65"/>
      <c r="E186" s="65"/>
      <c r="F186" s="65"/>
      <c r="G186" s="65"/>
      <c r="H186" s="65"/>
      <c r="I186" s="65"/>
      <c r="J186" s="65"/>
      <c r="K186" s="65"/>
      <c r="N186" s="137"/>
      <c r="O186" s="137"/>
      <c r="P186" s="102"/>
      <c r="Q186" s="102"/>
      <c r="Y186" s="20"/>
    </row>
    <row r="187" spans="2:25" x14ac:dyDescent="0.3">
      <c r="B187" s="19"/>
      <c r="D187" s="75" t="s">
        <v>726</v>
      </c>
      <c r="E187" s="75"/>
      <c r="F187" s="75"/>
      <c r="G187" s="75"/>
      <c r="H187" s="75"/>
      <c r="I187" s="75"/>
      <c r="J187" s="75"/>
      <c r="K187" s="75"/>
      <c r="L187" s="75"/>
      <c r="M187" s="75"/>
      <c r="N187" s="302"/>
      <c r="O187" s="302"/>
      <c r="P187" s="774">
        <f>MIN(SUM(P184:Q185),7)</f>
        <v>0</v>
      </c>
      <c r="Q187" s="775"/>
      <c r="Y187" s="20"/>
    </row>
    <row r="188" spans="2:25" x14ac:dyDescent="0.3">
      <c r="B188" s="19"/>
      <c r="D188" s="65"/>
      <c r="E188" s="65"/>
      <c r="F188" s="65"/>
      <c r="G188" s="65"/>
      <c r="H188" s="65"/>
      <c r="I188" s="65"/>
      <c r="J188" s="65"/>
      <c r="K188" s="65"/>
      <c r="L188" s="36"/>
      <c r="M188" s="36"/>
      <c r="N188" s="153"/>
      <c r="O188" s="102"/>
      <c r="Y188" s="20"/>
    </row>
    <row r="189" spans="2:25" x14ac:dyDescent="0.3">
      <c r="B189" s="19"/>
      <c r="D189" s="65"/>
      <c r="E189" s="65"/>
      <c r="F189" s="65"/>
      <c r="G189" s="65"/>
      <c r="H189" s="65"/>
      <c r="I189" s="65"/>
      <c r="J189" s="65"/>
      <c r="K189" s="65"/>
      <c r="L189" s="36"/>
      <c r="M189" s="36"/>
      <c r="N189" s="153"/>
      <c r="O189" s="102"/>
      <c r="Y189" s="20"/>
    </row>
    <row r="190" spans="2:25" x14ac:dyDescent="0.3">
      <c r="B190" s="19"/>
      <c r="C190" s="75" t="s">
        <v>600</v>
      </c>
      <c r="D190" s="75"/>
      <c r="E190" s="75"/>
      <c r="F190" s="75"/>
      <c r="G190" s="75"/>
      <c r="H190" s="75"/>
      <c r="I190" s="75"/>
      <c r="J190" s="75"/>
      <c r="K190" s="75"/>
      <c r="L190" s="170"/>
      <c r="M190" s="173"/>
      <c r="N190" s="958">
        <f>M60</f>
        <v>0</v>
      </c>
      <c r="O190" s="958"/>
      <c r="V190" s="680" t="s">
        <v>3205</v>
      </c>
      <c r="W190" s="680"/>
      <c r="X190" s="680"/>
      <c r="Y190" s="681"/>
    </row>
    <row r="191" spans="2:25" x14ac:dyDescent="0.3">
      <c r="B191" s="19"/>
      <c r="C191" s="149" t="s">
        <v>417</v>
      </c>
      <c r="D191" s="75"/>
      <c r="E191" s="75"/>
      <c r="F191" s="75"/>
      <c r="G191" s="75"/>
      <c r="H191" s="75"/>
      <c r="I191" s="75"/>
      <c r="J191" s="75"/>
      <c r="K191" s="75"/>
      <c r="L191" s="170"/>
      <c r="M191" s="170"/>
      <c r="N191" s="171"/>
      <c r="O191" s="172"/>
      <c r="P191" s="917">
        <f>IF(N190&lt;0.05,P181,(P181*(100%-N190))+(P187*N190))</f>
        <v>0</v>
      </c>
      <c r="Q191" s="918"/>
      <c r="W191" s="694">
        <f>IF(N190&lt;0.05,3,(3*(100%-N190))+(7*N190))</f>
        <v>3</v>
      </c>
      <c r="X191" s="695"/>
      <c r="Y191" s="20"/>
    </row>
    <row r="192" spans="2:25" x14ac:dyDescent="0.3">
      <c r="B192" s="19"/>
      <c r="D192" s="65"/>
      <c r="E192" s="65"/>
      <c r="F192" s="65"/>
      <c r="G192" s="65"/>
      <c r="H192" s="65"/>
      <c r="I192" s="65"/>
      <c r="J192" s="65"/>
      <c r="K192" s="65"/>
      <c r="L192" s="36"/>
      <c r="M192" s="36"/>
      <c r="N192" s="153"/>
      <c r="O192" s="102"/>
      <c r="Y192" s="20"/>
    </row>
    <row r="193" spans="2:25" x14ac:dyDescent="0.3">
      <c r="B193" s="19"/>
      <c r="D193" s="65"/>
      <c r="E193" s="65"/>
      <c r="F193" s="65"/>
      <c r="G193" s="65"/>
      <c r="H193" s="65"/>
      <c r="I193" s="65"/>
      <c r="J193" s="65"/>
      <c r="K193" s="65"/>
      <c r="L193" s="36"/>
      <c r="M193" s="36"/>
      <c r="N193" s="153"/>
      <c r="O193" s="102"/>
      <c r="Y193" s="20"/>
    </row>
    <row r="194" spans="2:25" x14ac:dyDescent="0.3">
      <c r="B194" s="19"/>
      <c r="C194" s="70" t="s">
        <v>2472</v>
      </c>
      <c r="Y194" s="20"/>
    </row>
    <row r="195" spans="2:25" x14ac:dyDescent="0.3">
      <c r="B195" s="19"/>
      <c r="C195" s="652"/>
      <c r="D195" s="653"/>
      <c r="E195" s="653"/>
      <c r="F195" s="653"/>
      <c r="G195" s="653"/>
      <c r="H195" s="653"/>
      <c r="I195" s="653"/>
      <c r="J195" s="653"/>
      <c r="K195" s="653"/>
      <c r="L195" s="653"/>
      <c r="M195" s="653"/>
      <c r="N195" s="653"/>
      <c r="O195" s="653"/>
      <c r="P195" s="653"/>
      <c r="Q195" s="653"/>
      <c r="R195" s="653"/>
      <c r="S195" s="653"/>
      <c r="T195" s="653"/>
      <c r="U195" s="653"/>
      <c r="V195" s="653"/>
      <c r="W195" s="654"/>
      <c r="Y195" s="20"/>
    </row>
    <row r="196" spans="2:25" x14ac:dyDescent="0.3">
      <c r="B196" s="19"/>
      <c r="C196" s="655"/>
      <c r="D196" s="656"/>
      <c r="E196" s="656"/>
      <c r="F196" s="656"/>
      <c r="G196" s="656"/>
      <c r="H196" s="656"/>
      <c r="I196" s="656"/>
      <c r="J196" s="656"/>
      <c r="K196" s="656"/>
      <c r="L196" s="656"/>
      <c r="M196" s="656"/>
      <c r="N196" s="656"/>
      <c r="O196" s="656"/>
      <c r="P196" s="656"/>
      <c r="Q196" s="656"/>
      <c r="R196" s="656"/>
      <c r="S196" s="656"/>
      <c r="T196" s="656"/>
      <c r="U196" s="656"/>
      <c r="V196" s="656"/>
      <c r="W196" s="657"/>
      <c r="Y196" s="20"/>
    </row>
    <row r="197" spans="2:25" x14ac:dyDescent="0.3">
      <c r="B197" s="19"/>
      <c r="C197" s="655"/>
      <c r="D197" s="656"/>
      <c r="E197" s="656"/>
      <c r="F197" s="656"/>
      <c r="G197" s="656"/>
      <c r="H197" s="656"/>
      <c r="I197" s="656"/>
      <c r="J197" s="656"/>
      <c r="K197" s="656"/>
      <c r="L197" s="656"/>
      <c r="M197" s="656"/>
      <c r="N197" s="656"/>
      <c r="O197" s="656"/>
      <c r="P197" s="656"/>
      <c r="Q197" s="656"/>
      <c r="R197" s="656"/>
      <c r="S197" s="656"/>
      <c r="T197" s="656"/>
      <c r="U197" s="656"/>
      <c r="V197" s="656"/>
      <c r="W197" s="657"/>
      <c r="Y197" s="20"/>
    </row>
    <row r="198" spans="2:25" x14ac:dyDescent="0.3">
      <c r="B198" s="19"/>
      <c r="C198" s="655"/>
      <c r="D198" s="656"/>
      <c r="E198" s="656"/>
      <c r="F198" s="656"/>
      <c r="G198" s="656"/>
      <c r="H198" s="656"/>
      <c r="I198" s="656"/>
      <c r="J198" s="656"/>
      <c r="K198" s="656"/>
      <c r="L198" s="656"/>
      <c r="M198" s="656"/>
      <c r="N198" s="656"/>
      <c r="O198" s="656"/>
      <c r="P198" s="656"/>
      <c r="Q198" s="656"/>
      <c r="R198" s="656"/>
      <c r="S198" s="656"/>
      <c r="T198" s="656"/>
      <c r="U198" s="656"/>
      <c r="V198" s="656"/>
      <c r="W198" s="657"/>
      <c r="Y198" s="20"/>
    </row>
    <row r="199" spans="2:25" x14ac:dyDescent="0.3">
      <c r="B199" s="19"/>
      <c r="C199" s="658"/>
      <c r="D199" s="659"/>
      <c r="E199" s="659"/>
      <c r="F199" s="659"/>
      <c r="G199" s="659"/>
      <c r="H199" s="659"/>
      <c r="I199" s="659"/>
      <c r="J199" s="659"/>
      <c r="K199" s="659"/>
      <c r="L199" s="659"/>
      <c r="M199" s="659"/>
      <c r="N199" s="659"/>
      <c r="O199" s="659"/>
      <c r="P199" s="659"/>
      <c r="Q199" s="659"/>
      <c r="R199" s="659"/>
      <c r="S199" s="659"/>
      <c r="T199" s="659"/>
      <c r="U199" s="659"/>
      <c r="V199" s="659"/>
      <c r="W199" s="660"/>
      <c r="Y199" s="20"/>
    </row>
    <row r="200" spans="2:25" x14ac:dyDescent="0.3">
      <c r="B200" s="19"/>
      <c r="D200" s="65"/>
      <c r="E200" s="65"/>
      <c r="F200" s="65"/>
      <c r="G200" s="65"/>
      <c r="H200" s="65"/>
      <c r="I200" s="65"/>
      <c r="J200" s="65"/>
      <c r="K200" s="65"/>
      <c r="L200" s="36"/>
      <c r="M200" s="36"/>
      <c r="N200" s="153"/>
      <c r="O200" s="102"/>
      <c r="Y200" s="20"/>
    </row>
    <row r="201" spans="2:25" ht="15" thickBot="1" x14ac:dyDescent="0.35">
      <c r="B201" s="22"/>
      <c r="C201" s="23"/>
      <c r="D201" s="23"/>
      <c r="E201" s="23"/>
      <c r="F201" s="23"/>
      <c r="G201" s="23"/>
      <c r="H201" s="23"/>
      <c r="I201" s="23"/>
      <c r="J201" s="23"/>
      <c r="K201" s="23"/>
      <c r="L201" s="23"/>
      <c r="M201" s="23"/>
      <c r="N201" s="23"/>
      <c r="O201" s="23"/>
      <c r="P201" s="23"/>
      <c r="Q201" s="23"/>
      <c r="R201" s="23"/>
      <c r="S201" s="23"/>
      <c r="T201" s="23"/>
      <c r="U201" s="23"/>
      <c r="V201" s="23"/>
      <c r="W201" s="23"/>
      <c r="X201" s="23"/>
      <c r="Y201" s="24"/>
    </row>
    <row r="204" spans="2:25" ht="15" thickBot="1" x14ac:dyDescent="0.35"/>
    <row r="205" spans="2:25" x14ac:dyDescent="0.3">
      <c r="B205" s="16"/>
      <c r="C205" s="17"/>
      <c r="D205" s="17"/>
      <c r="E205" s="17"/>
      <c r="F205" s="17"/>
      <c r="G205" s="17"/>
      <c r="H205" s="17"/>
      <c r="I205" s="17"/>
      <c r="J205" s="17"/>
      <c r="K205" s="17"/>
      <c r="L205" s="17"/>
      <c r="M205" s="17"/>
      <c r="N205" s="17"/>
      <c r="O205" s="17"/>
      <c r="P205" s="17"/>
      <c r="Q205" s="17"/>
      <c r="R205" s="17"/>
      <c r="S205" s="17"/>
      <c r="T205" s="17"/>
      <c r="U205" s="17"/>
      <c r="V205" s="17"/>
      <c r="W205" s="17"/>
      <c r="X205" s="17"/>
      <c r="Y205" s="18"/>
    </row>
    <row r="206" spans="2:25" x14ac:dyDescent="0.3">
      <c r="B206" s="19"/>
      <c r="Y206" s="20"/>
    </row>
    <row r="207" spans="2:25" x14ac:dyDescent="0.3">
      <c r="B207" s="19"/>
      <c r="C207" s="47" t="s">
        <v>333</v>
      </c>
      <c r="D207" s="47"/>
      <c r="E207" s="47"/>
      <c r="F207" s="47"/>
      <c r="G207" s="47"/>
      <c r="H207" s="47"/>
      <c r="I207" s="43"/>
      <c r="J207" s="963">
        <f>Surfaces!O120</f>
        <v>0</v>
      </c>
      <c r="K207" s="963"/>
      <c r="Y207" s="20"/>
    </row>
    <row r="208" spans="2:25" x14ac:dyDescent="0.3">
      <c r="B208" s="19"/>
      <c r="C208" s="48" t="s">
        <v>2526</v>
      </c>
      <c r="D208" s="48"/>
      <c r="E208" s="48"/>
      <c r="F208" s="48"/>
      <c r="G208" s="48"/>
      <c r="H208" s="48"/>
      <c r="I208" s="44"/>
      <c r="J208" s="961"/>
      <c r="K208" s="961"/>
      <c r="M208" s="141" t="str">
        <f>IF(J208&gt;(Surfaces!O25-SUM(Surfaces!O120:O122)),"Attention : surface saisie &gt; SAU-PP","")</f>
        <v/>
      </c>
      <c r="Y208" s="20"/>
    </row>
    <row r="209" spans="2:25" x14ac:dyDescent="0.3">
      <c r="B209" s="19"/>
      <c r="Y209" s="20"/>
    </row>
    <row r="210" spans="2:25" x14ac:dyDescent="0.3">
      <c r="B210" s="19"/>
      <c r="Y210" s="20"/>
    </row>
    <row r="211" spans="2:25" x14ac:dyDescent="0.3">
      <c r="B211" s="19"/>
      <c r="C211" s="42"/>
      <c r="L211" s="678"/>
      <c r="M211" s="678"/>
      <c r="Y211" s="20"/>
    </row>
    <row r="212" spans="2:25" x14ac:dyDescent="0.3">
      <c r="B212" s="19"/>
      <c r="Y212" s="20"/>
    </row>
    <row r="213" spans="2:25" x14ac:dyDescent="0.3">
      <c r="B213" s="19"/>
      <c r="D213" s="75" t="s">
        <v>294</v>
      </c>
      <c r="E213" s="75"/>
      <c r="F213" s="75"/>
      <c r="G213" s="75"/>
      <c r="H213" s="75"/>
      <c r="I213" s="100"/>
      <c r="J213" s="963">
        <f>Surfaces!O25</f>
        <v>0</v>
      </c>
      <c r="K213" s="963"/>
      <c r="L213" s="966"/>
      <c r="M213" s="839"/>
      <c r="Y213" s="20"/>
    </row>
    <row r="214" spans="2:25" x14ac:dyDescent="0.3">
      <c r="B214" s="19"/>
      <c r="D214" s="76" t="s">
        <v>2527</v>
      </c>
      <c r="E214" s="76"/>
      <c r="F214" s="76"/>
      <c r="G214" s="76"/>
      <c r="H214" s="76"/>
      <c r="I214" s="101"/>
      <c r="J214" s="963">
        <f>SUM(J207:K208)</f>
        <v>0</v>
      </c>
      <c r="K214" s="963"/>
      <c r="L214" s="678" t="s">
        <v>3204</v>
      </c>
      <c r="M214" s="678"/>
      <c r="V214" s="680" t="s">
        <v>3205</v>
      </c>
      <c r="W214" s="680"/>
      <c r="X214" s="680"/>
      <c r="Y214" s="681"/>
    </row>
    <row r="215" spans="2:25" x14ac:dyDescent="0.3">
      <c r="B215" s="19"/>
      <c r="D215" s="76" t="s">
        <v>334</v>
      </c>
      <c r="E215" s="76"/>
      <c r="F215" s="76"/>
      <c r="G215" s="76"/>
      <c r="H215" s="76"/>
      <c r="I215" s="101"/>
      <c r="J215" s="958">
        <f>IFERROR(J214/J213,0)</f>
        <v>0</v>
      </c>
      <c r="K215" s="958"/>
      <c r="L215" s="917">
        <f>MIN(ROUNDUP(MAX(J215-5%,0)/10%,0),10)</f>
        <v>0</v>
      </c>
      <c r="M215" s="918"/>
      <c r="W215" s="694">
        <v>10</v>
      </c>
      <c r="X215" s="695"/>
      <c r="Y215" s="20"/>
    </row>
    <row r="216" spans="2:25" x14ac:dyDescent="0.3">
      <c r="B216" s="19"/>
      <c r="Y216" s="20"/>
    </row>
    <row r="217" spans="2:25" x14ac:dyDescent="0.3">
      <c r="B217" s="19"/>
      <c r="Y217" s="20"/>
    </row>
    <row r="218" spans="2:25" x14ac:dyDescent="0.3">
      <c r="B218" s="19"/>
      <c r="D218" s="70" t="s">
        <v>2472</v>
      </c>
      <c r="Y218" s="20"/>
    </row>
    <row r="219" spans="2:25" x14ac:dyDescent="0.3">
      <c r="B219" s="19"/>
      <c r="D219" s="652"/>
      <c r="E219" s="653"/>
      <c r="F219" s="653"/>
      <c r="G219" s="653"/>
      <c r="H219" s="653"/>
      <c r="I219" s="653"/>
      <c r="J219" s="653"/>
      <c r="K219" s="653"/>
      <c r="L219" s="653"/>
      <c r="M219" s="653"/>
      <c r="N219" s="653"/>
      <c r="O219" s="653"/>
      <c r="P219" s="653"/>
      <c r="Q219" s="653"/>
      <c r="R219" s="653"/>
      <c r="S219" s="653"/>
      <c r="T219" s="653"/>
      <c r="U219" s="653"/>
      <c r="V219" s="653"/>
      <c r="W219" s="653"/>
      <c r="X219" s="654"/>
      <c r="Y219" s="20"/>
    </row>
    <row r="220" spans="2:25" x14ac:dyDescent="0.3">
      <c r="B220" s="19"/>
      <c r="D220" s="655"/>
      <c r="E220" s="656"/>
      <c r="F220" s="656"/>
      <c r="G220" s="656"/>
      <c r="H220" s="656"/>
      <c r="I220" s="656"/>
      <c r="J220" s="656"/>
      <c r="K220" s="656"/>
      <c r="L220" s="656"/>
      <c r="M220" s="656"/>
      <c r="N220" s="656"/>
      <c r="O220" s="656"/>
      <c r="P220" s="656"/>
      <c r="Q220" s="656"/>
      <c r="R220" s="656"/>
      <c r="S220" s="656"/>
      <c r="T220" s="656"/>
      <c r="U220" s="656"/>
      <c r="V220" s="656"/>
      <c r="W220" s="656"/>
      <c r="X220" s="657"/>
      <c r="Y220" s="20"/>
    </row>
    <row r="221" spans="2:25" x14ac:dyDescent="0.3">
      <c r="B221" s="19"/>
      <c r="D221" s="655"/>
      <c r="E221" s="656"/>
      <c r="F221" s="656"/>
      <c r="G221" s="656"/>
      <c r="H221" s="656"/>
      <c r="I221" s="656"/>
      <c r="J221" s="656"/>
      <c r="K221" s="656"/>
      <c r="L221" s="656"/>
      <c r="M221" s="656"/>
      <c r="N221" s="656"/>
      <c r="O221" s="656"/>
      <c r="P221" s="656"/>
      <c r="Q221" s="656"/>
      <c r="R221" s="656"/>
      <c r="S221" s="656"/>
      <c r="T221" s="656"/>
      <c r="U221" s="656"/>
      <c r="V221" s="656"/>
      <c r="W221" s="656"/>
      <c r="X221" s="657"/>
      <c r="Y221" s="20"/>
    </row>
    <row r="222" spans="2:25" x14ac:dyDescent="0.3">
      <c r="B222" s="19"/>
      <c r="D222" s="655"/>
      <c r="E222" s="656"/>
      <c r="F222" s="656"/>
      <c r="G222" s="656"/>
      <c r="H222" s="656"/>
      <c r="I222" s="656"/>
      <c r="J222" s="656"/>
      <c r="K222" s="656"/>
      <c r="L222" s="656"/>
      <c r="M222" s="656"/>
      <c r="N222" s="656"/>
      <c r="O222" s="656"/>
      <c r="P222" s="656"/>
      <c r="Q222" s="656"/>
      <c r="R222" s="656"/>
      <c r="S222" s="656"/>
      <c r="T222" s="656"/>
      <c r="U222" s="656"/>
      <c r="V222" s="656"/>
      <c r="W222" s="656"/>
      <c r="X222" s="657"/>
      <c r="Y222" s="20"/>
    </row>
    <row r="223" spans="2:25" x14ac:dyDescent="0.3">
      <c r="B223" s="19"/>
      <c r="D223" s="658"/>
      <c r="E223" s="659"/>
      <c r="F223" s="659"/>
      <c r="G223" s="659"/>
      <c r="H223" s="659"/>
      <c r="I223" s="659"/>
      <c r="J223" s="659"/>
      <c r="K223" s="659"/>
      <c r="L223" s="659"/>
      <c r="M223" s="659"/>
      <c r="N223" s="659"/>
      <c r="O223" s="659"/>
      <c r="P223" s="659"/>
      <c r="Q223" s="659"/>
      <c r="R223" s="659"/>
      <c r="S223" s="659"/>
      <c r="T223" s="659"/>
      <c r="U223" s="659"/>
      <c r="V223" s="659"/>
      <c r="W223" s="659"/>
      <c r="X223" s="660"/>
      <c r="Y223" s="20"/>
    </row>
    <row r="224" spans="2:25" x14ac:dyDescent="0.3">
      <c r="B224" s="19"/>
      <c r="Y224" s="20"/>
    </row>
    <row r="225" spans="2:25" ht="15" thickBot="1" x14ac:dyDescent="0.35">
      <c r="B225" s="22"/>
      <c r="C225" s="23"/>
      <c r="D225" s="23"/>
      <c r="E225" s="23"/>
      <c r="F225" s="23"/>
      <c r="G225" s="23"/>
      <c r="H225" s="23"/>
      <c r="I225" s="23"/>
      <c r="J225" s="23"/>
      <c r="K225" s="23"/>
      <c r="L225" s="23"/>
      <c r="M225" s="23"/>
      <c r="N225" s="23"/>
      <c r="O225" s="23"/>
      <c r="P225" s="23"/>
      <c r="Q225" s="23"/>
      <c r="R225" s="23"/>
      <c r="S225" s="23"/>
      <c r="T225" s="23"/>
      <c r="U225" s="23"/>
      <c r="V225" s="23"/>
      <c r="W225" s="23"/>
      <c r="X225" s="23"/>
      <c r="Y225" s="24"/>
    </row>
    <row r="228" spans="2:25" ht="15" thickBot="1" x14ac:dyDescent="0.35"/>
    <row r="229" spans="2:25" x14ac:dyDescent="0.3">
      <c r="B229" s="16"/>
      <c r="C229" s="17"/>
      <c r="D229" s="17"/>
      <c r="E229" s="17"/>
      <c r="F229" s="17"/>
      <c r="G229" s="17"/>
      <c r="H229" s="17"/>
      <c r="I229" s="17"/>
      <c r="J229" s="17"/>
      <c r="K229" s="17"/>
      <c r="L229" s="17"/>
      <c r="M229" s="17"/>
      <c r="N229" s="17"/>
      <c r="O229" s="17"/>
      <c r="P229" s="17"/>
      <c r="Q229" s="17"/>
      <c r="R229" s="17"/>
      <c r="S229" s="17"/>
      <c r="T229" s="17"/>
      <c r="U229" s="17"/>
      <c r="V229" s="17"/>
      <c r="W229" s="17"/>
      <c r="X229" s="17"/>
      <c r="Y229" s="18"/>
    </row>
    <row r="230" spans="2:25" x14ac:dyDescent="0.3">
      <c r="B230" s="19"/>
      <c r="Y230" s="20"/>
    </row>
    <row r="231" spans="2:25" x14ac:dyDescent="0.3">
      <c r="B231" s="19"/>
      <c r="C231" s="42"/>
      <c r="P231" s="678"/>
      <c r="Q231" s="678"/>
      <c r="Y231" s="20"/>
    </row>
    <row r="232" spans="2:25" x14ac:dyDescent="0.3">
      <c r="B232" s="19"/>
      <c r="C232" s="42"/>
      <c r="P232" s="94"/>
      <c r="Q232" s="94"/>
      <c r="Y232" s="20"/>
    </row>
    <row r="233" spans="2:25" x14ac:dyDescent="0.3">
      <c r="B233" s="19"/>
      <c r="C233" s="42"/>
      <c r="D233" s="47" t="s">
        <v>2349</v>
      </c>
      <c r="E233" s="47"/>
      <c r="F233" s="47"/>
      <c r="G233" s="47"/>
      <c r="H233" s="47"/>
      <c r="I233" s="47"/>
      <c r="J233" s="47"/>
      <c r="K233" s="47"/>
      <c r="L233" s="47"/>
      <c r="M233" s="43"/>
      <c r="N233" s="963">
        <f>Surfaces!O94+Surfaces!O95</f>
        <v>0</v>
      </c>
      <c r="O233" s="963"/>
      <c r="P233" s="94"/>
      <c r="Q233" s="94"/>
      <c r="Y233" s="20"/>
    </row>
    <row r="234" spans="2:25" x14ac:dyDescent="0.3">
      <c r="B234" s="19"/>
      <c r="C234" s="42"/>
      <c r="D234" s="48" t="s">
        <v>2350</v>
      </c>
      <c r="E234" s="48"/>
      <c r="F234" s="48"/>
      <c r="G234" s="48"/>
      <c r="H234" s="48"/>
      <c r="I234" s="48"/>
      <c r="J234" s="48"/>
      <c r="K234" s="48"/>
      <c r="L234" s="48"/>
      <c r="M234" s="44"/>
      <c r="N234" s="963">
        <f>Surfaces!O96</f>
        <v>0</v>
      </c>
      <c r="O234" s="963"/>
      <c r="P234" s="94"/>
      <c r="Q234" s="94"/>
      <c r="Y234" s="20"/>
    </row>
    <row r="235" spans="2:25" x14ac:dyDescent="0.3">
      <c r="B235" s="19"/>
      <c r="C235" s="42"/>
      <c r="D235" s="48" t="s">
        <v>2351</v>
      </c>
      <c r="E235" s="48"/>
      <c r="F235" s="48"/>
      <c r="G235" s="48"/>
      <c r="H235" s="48"/>
      <c r="I235" s="48"/>
      <c r="J235" s="48"/>
      <c r="K235" s="48"/>
      <c r="L235" s="48"/>
      <c r="M235" s="44"/>
      <c r="N235" s="963">
        <f>Surfaces!O97</f>
        <v>0</v>
      </c>
      <c r="O235" s="963"/>
      <c r="P235" s="94"/>
      <c r="Q235" s="94"/>
      <c r="Y235" s="20"/>
    </row>
    <row r="236" spans="2:25" x14ac:dyDescent="0.3">
      <c r="B236" s="19"/>
      <c r="C236" s="42"/>
      <c r="D236" s="48" t="s">
        <v>2352</v>
      </c>
      <c r="E236" s="48"/>
      <c r="F236" s="48"/>
      <c r="G236" s="48"/>
      <c r="H236" s="48"/>
      <c r="I236" s="48"/>
      <c r="J236" s="48"/>
      <c r="K236" s="48"/>
      <c r="L236" s="48"/>
      <c r="M236" s="44"/>
      <c r="N236" s="963">
        <f>Surfaces!O115+Surfaces!O116+Surfaces!O119</f>
        <v>0</v>
      </c>
      <c r="O236" s="963"/>
      <c r="P236" s="94"/>
      <c r="Q236" s="94"/>
      <c r="Y236" s="20"/>
    </row>
    <row r="237" spans="2:25" x14ac:dyDescent="0.3">
      <c r="B237" s="19"/>
      <c r="C237" s="42"/>
      <c r="D237" s="48" t="s">
        <v>107</v>
      </c>
      <c r="E237" s="48"/>
      <c r="F237" s="48"/>
      <c r="G237" s="48"/>
      <c r="H237" s="48"/>
      <c r="I237" s="48"/>
      <c r="J237" s="48"/>
      <c r="K237" s="48"/>
      <c r="L237" s="48"/>
      <c r="M237" s="44"/>
      <c r="N237" s="963">
        <f>Surfaces!O89</f>
        <v>0</v>
      </c>
      <c r="O237" s="963"/>
      <c r="P237" s="917">
        <f>SUM(Fertilisation!N233:O237)</f>
        <v>0</v>
      </c>
      <c r="Q237" s="918"/>
      <c r="Y237" s="20"/>
    </row>
    <row r="238" spans="2:25" x14ac:dyDescent="0.3">
      <c r="B238" s="19"/>
      <c r="C238" s="42"/>
      <c r="D238" s="48" t="s">
        <v>2528</v>
      </c>
      <c r="E238" s="48"/>
      <c r="F238" s="48"/>
      <c r="G238" s="48"/>
      <c r="H238" s="48"/>
      <c r="I238" s="48"/>
      <c r="J238" s="48"/>
      <c r="K238" s="48"/>
      <c r="L238" s="48"/>
      <c r="M238" s="44"/>
      <c r="N238" s="833"/>
      <c r="O238" s="834"/>
      <c r="P238" s="94"/>
      <c r="Q238" s="94"/>
      <c r="Y238" s="20"/>
    </row>
    <row r="239" spans="2:25" x14ac:dyDescent="0.3">
      <c r="B239" s="19"/>
      <c r="Y239" s="20"/>
    </row>
    <row r="240" spans="2:25" x14ac:dyDescent="0.3">
      <c r="B240" s="19"/>
      <c r="D240" s="75" t="s">
        <v>294</v>
      </c>
      <c r="E240" s="75"/>
      <c r="F240" s="75"/>
      <c r="G240" s="75"/>
      <c r="H240" s="75"/>
      <c r="I240" s="75"/>
      <c r="J240" s="40"/>
      <c r="K240" s="40"/>
      <c r="L240" s="40"/>
      <c r="M240" s="45"/>
      <c r="N240" s="963">
        <f>cSAU</f>
        <v>0</v>
      </c>
      <c r="O240" s="963"/>
      <c r="P240" s="966"/>
      <c r="Q240" s="839"/>
      <c r="Y240" s="20"/>
    </row>
    <row r="241" spans="2:25" x14ac:dyDescent="0.3">
      <c r="B241" s="19"/>
      <c r="D241" s="76" t="s">
        <v>3113</v>
      </c>
      <c r="E241" s="75"/>
      <c r="F241" s="75"/>
      <c r="G241" s="75"/>
      <c r="H241" s="75"/>
      <c r="I241" s="75"/>
      <c r="J241" s="40"/>
      <c r="K241" s="40"/>
      <c r="L241" s="40"/>
      <c r="M241" s="45"/>
      <c r="N241" s="963">
        <f>SUM(N233:O237)</f>
        <v>0</v>
      </c>
      <c r="O241" s="963"/>
      <c r="P241" s="966"/>
      <c r="Q241" s="839"/>
      <c r="Y241" s="20"/>
    </row>
    <row r="242" spans="2:25" x14ac:dyDescent="0.3">
      <c r="B242" s="19"/>
      <c r="D242" s="76" t="s">
        <v>601</v>
      </c>
      <c r="E242" s="76"/>
      <c r="F242" s="76"/>
      <c r="G242" s="76"/>
      <c r="H242" s="76"/>
      <c r="I242" s="76"/>
      <c r="J242" s="77"/>
      <c r="K242" s="77"/>
      <c r="L242" s="77"/>
      <c r="M242" s="78"/>
      <c r="N242" s="963">
        <f>SUM(N233:O238)</f>
        <v>0</v>
      </c>
      <c r="O242" s="963"/>
      <c r="P242" s="678" t="s">
        <v>3204</v>
      </c>
      <c r="Q242" s="678"/>
      <c r="V242" s="680" t="s">
        <v>3205</v>
      </c>
      <c r="W242" s="680"/>
      <c r="X242" s="680"/>
      <c r="Y242" s="681"/>
    </row>
    <row r="243" spans="2:25" x14ac:dyDescent="0.3">
      <c r="B243" s="19"/>
      <c r="D243" s="76" t="s">
        <v>602</v>
      </c>
      <c r="E243" s="76"/>
      <c r="F243" s="76"/>
      <c r="G243" s="76"/>
      <c r="H243" s="76"/>
      <c r="I243" s="76"/>
      <c r="J243" s="77"/>
      <c r="K243" s="77"/>
      <c r="L243" s="77"/>
      <c r="M243" s="78"/>
      <c r="N243" s="958">
        <f>IFERROR(N242/N240,0)</f>
        <v>0</v>
      </c>
      <c r="O243" s="958"/>
      <c r="P243" s="917">
        <f>IF(N243&gt;=0.15,4,IF(N243&gt;=0.1,3,IF(N243&gt;=0.05,2,0)))</f>
        <v>0</v>
      </c>
      <c r="Q243" s="918"/>
      <c r="W243" s="694">
        <v>4</v>
      </c>
      <c r="X243" s="695"/>
      <c r="Y243" s="20"/>
    </row>
    <row r="244" spans="2:25" x14ac:dyDescent="0.3">
      <c r="B244" s="19"/>
      <c r="Y244" s="20"/>
    </row>
    <row r="245" spans="2:25" x14ac:dyDescent="0.3">
      <c r="B245" s="19"/>
      <c r="Y245" s="20"/>
    </row>
    <row r="246" spans="2:25" x14ac:dyDescent="0.3">
      <c r="B246" s="19"/>
      <c r="D246" s="70" t="s">
        <v>2472</v>
      </c>
      <c r="Y246" s="20"/>
    </row>
    <row r="247" spans="2:25" x14ac:dyDescent="0.3">
      <c r="B247" s="19"/>
      <c r="D247" s="652"/>
      <c r="E247" s="653"/>
      <c r="F247" s="653"/>
      <c r="G247" s="653"/>
      <c r="H247" s="653"/>
      <c r="I247" s="653"/>
      <c r="J247" s="653"/>
      <c r="K247" s="653"/>
      <c r="L247" s="653"/>
      <c r="M247" s="653"/>
      <c r="N247" s="653"/>
      <c r="O247" s="653"/>
      <c r="P247" s="653"/>
      <c r="Q247" s="653"/>
      <c r="R247" s="653"/>
      <c r="S247" s="653"/>
      <c r="T247" s="653"/>
      <c r="U247" s="653"/>
      <c r="V247" s="653"/>
      <c r="W247" s="653"/>
      <c r="X247" s="654"/>
      <c r="Y247" s="20"/>
    </row>
    <row r="248" spans="2:25" x14ac:dyDescent="0.3">
      <c r="B248" s="19"/>
      <c r="D248" s="655"/>
      <c r="E248" s="656"/>
      <c r="F248" s="656"/>
      <c r="G248" s="656"/>
      <c r="H248" s="656"/>
      <c r="I248" s="656"/>
      <c r="J248" s="656"/>
      <c r="K248" s="656"/>
      <c r="L248" s="656"/>
      <c r="M248" s="656"/>
      <c r="N248" s="656"/>
      <c r="O248" s="656"/>
      <c r="P248" s="656"/>
      <c r="Q248" s="656"/>
      <c r="R248" s="656"/>
      <c r="S248" s="656"/>
      <c r="T248" s="656"/>
      <c r="U248" s="656"/>
      <c r="V248" s="656"/>
      <c r="W248" s="656"/>
      <c r="X248" s="657"/>
      <c r="Y248" s="20"/>
    </row>
    <row r="249" spans="2:25" x14ac:dyDescent="0.3">
      <c r="B249" s="19"/>
      <c r="D249" s="655"/>
      <c r="E249" s="656"/>
      <c r="F249" s="656"/>
      <c r="G249" s="656"/>
      <c r="H249" s="656"/>
      <c r="I249" s="656"/>
      <c r="J249" s="656"/>
      <c r="K249" s="656"/>
      <c r="L249" s="656"/>
      <c r="M249" s="656"/>
      <c r="N249" s="656"/>
      <c r="O249" s="656"/>
      <c r="P249" s="656"/>
      <c r="Q249" s="656"/>
      <c r="R249" s="656"/>
      <c r="S249" s="656"/>
      <c r="T249" s="656"/>
      <c r="U249" s="656"/>
      <c r="V249" s="656"/>
      <c r="W249" s="656"/>
      <c r="X249" s="657"/>
      <c r="Y249" s="20"/>
    </row>
    <row r="250" spans="2:25" x14ac:dyDescent="0.3">
      <c r="B250" s="19"/>
      <c r="D250" s="655"/>
      <c r="E250" s="656"/>
      <c r="F250" s="656"/>
      <c r="G250" s="656"/>
      <c r="H250" s="656"/>
      <c r="I250" s="656"/>
      <c r="J250" s="656"/>
      <c r="K250" s="656"/>
      <c r="L250" s="656"/>
      <c r="M250" s="656"/>
      <c r="N250" s="656"/>
      <c r="O250" s="656"/>
      <c r="P250" s="656"/>
      <c r="Q250" s="656"/>
      <c r="R250" s="656"/>
      <c r="S250" s="656"/>
      <c r="T250" s="656"/>
      <c r="U250" s="656"/>
      <c r="V250" s="656"/>
      <c r="W250" s="656"/>
      <c r="X250" s="657"/>
      <c r="Y250" s="20"/>
    </row>
    <row r="251" spans="2:25" x14ac:dyDescent="0.3">
      <c r="B251" s="19"/>
      <c r="D251" s="658"/>
      <c r="E251" s="659"/>
      <c r="F251" s="659"/>
      <c r="G251" s="659"/>
      <c r="H251" s="659"/>
      <c r="I251" s="659"/>
      <c r="J251" s="659"/>
      <c r="K251" s="659"/>
      <c r="L251" s="659"/>
      <c r="M251" s="659"/>
      <c r="N251" s="659"/>
      <c r="O251" s="659"/>
      <c r="P251" s="659"/>
      <c r="Q251" s="659"/>
      <c r="R251" s="659"/>
      <c r="S251" s="659"/>
      <c r="T251" s="659"/>
      <c r="U251" s="659"/>
      <c r="V251" s="659"/>
      <c r="W251" s="659"/>
      <c r="X251" s="660"/>
      <c r="Y251" s="20"/>
    </row>
    <row r="252" spans="2:25" x14ac:dyDescent="0.3">
      <c r="B252" s="19"/>
      <c r="Y252" s="20"/>
    </row>
    <row r="253" spans="2:25" ht="15" thickBot="1" x14ac:dyDescent="0.35">
      <c r="B253" s="22"/>
      <c r="C253" s="23"/>
      <c r="D253" s="23"/>
      <c r="E253" s="23"/>
      <c r="F253" s="23"/>
      <c r="G253" s="23"/>
      <c r="H253" s="23"/>
      <c r="I253" s="23"/>
      <c r="J253" s="23"/>
      <c r="K253" s="23"/>
      <c r="L253" s="23"/>
      <c r="M253" s="23"/>
      <c r="N253" s="23"/>
      <c r="O253" s="23"/>
      <c r="P253" s="23"/>
      <c r="Q253" s="23"/>
      <c r="R253" s="23"/>
      <c r="S253" s="23"/>
      <c r="T253" s="23"/>
      <c r="U253" s="23"/>
      <c r="V253" s="23"/>
      <c r="W253" s="23"/>
      <c r="X253" s="23"/>
      <c r="Y253" s="24"/>
    </row>
    <row r="256" spans="2:25" ht="15" thickBot="1" x14ac:dyDescent="0.35"/>
    <row r="257" spans="2:25" x14ac:dyDescent="0.3">
      <c r="B257" s="16"/>
      <c r="C257" s="17"/>
      <c r="D257" s="17"/>
      <c r="E257" s="17"/>
      <c r="F257" s="17"/>
      <c r="G257" s="17"/>
      <c r="H257" s="17"/>
      <c r="I257" s="17"/>
      <c r="J257" s="17"/>
      <c r="K257" s="17"/>
      <c r="L257" s="17"/>
      <c r="M257" s="17"/>
      <c r="N257" s="17"/>
      <c r="O257" s="17"/>
      <c r="P257" s="17"/>
      <c r="Q257" s="17"/>
      <c r="R257" s="17"/>
      <c r="S257" s="17"/>
      <c r="T257" s="17"/>
      <c r="U257" s="17"/>
      <c r="V257" s="17"/>
      <c r="W257" s="17"/>
      <c r="X257" s="17"/>
      <c r="Y257" s="18"/>
    </row>
    <row r="258" spans="2:25" x14ac:dyDescent="0.3">
      <c r="B258" s="19"/>
      <c r="Y258" s="20"/>
    </row>
    <row r="259" spans="2:25" x14ac:dyDescent="0.3">
      <c r="B259" s="19"/>
      <c r="C259" s="141" t="s">
        <v>2583</v>
      </c>
      <c r="Y259" s="20"/>
    </row>
    <row r="260" spans="2:25" x14ac:dyDescent="0.3">
      <c r="B260" s="19"/>
      <c r="Y260" s="20"/>
    </row>
    <row r="261" spans="2:25" x14ac:dyDescent="0.3">
      <c r="B261" s="19"/>
      <c r="C261" s="42" t="s">
        <v>3210</v>
      </c>
      <c r="Y261" s="20"/>
    </row>
    <row r="262" spans="2:25" x14ac:dyDescent="0.3">
      <c r="B262" s="19"/>
      <c r="C262" t="s">
        <v>2565</v>
      </c>
      <c r="O262" s="978"/>
      <c r="P262" s="979"/>
      <c r="Y262" s="20"/>
    </row>
    <row r="263" spans="2:25" x14ac:dyDescent="0.3">
      <c r="B263" s="19"/>
      <c r="C263" s="42" t="s">
        <v>2495</v>
      </c>
      <c r="Y263" s="20"/>
    </row>
    <row r="264" spans="2:25" x14ac:dyDescent="0.3">
      <c r="B264" s="19"/>
      <c r="C264" s="70" t="s">
        <v>2566</v>
      </c>
      <c r="Y264" s="20"/>
    </row>
    <row r="265" spans="2:25" x14ac:dyDescent="0.3">
      <c r="B265" s="19"/>
      <c r="D265" s="381" t="s">
        <v>2477</v>
      </c>
      <c r="E265" s="382"/>
      <c r="F265" s="382"/>
      <c r="G265" s="382"/>
      <c r="H265" s="382"/>
      <c r="I265" s="382"/>
      <c r="J265" s="382"/>
      <c r="K265" s="382"/>
      <c r="L265" s="382"/>
      <c r="M265" s="382"/>
      <c r="N265" s="382"/>
      <c r="O265" s="851" t="s">
        <v>2568</v>
      </c>
      <c r="P265" s="980"/>
      <c r="Q265" s="980"/>
      <c r="R265" s="980"/>
      <c r="S265" s="980"/>
      <c r="T265" s="852"/>
      <c r="Y265" s="20"/>
    </row>
    <row r="266" spans="2:25" x14ac:dyDescent="0.3">
      <c r="B266" s="19"/>
      <c r="D266" s="381" t="s">
        <v>2478</v>
      </c>
      <c r="E266" s="382"/>
      <c r="F266" s="382"/>
      <c r="G266" s="382"/>
      <c r="H266" s="382"/>
      <c r="I266" s="382"/>
      <c r="J266" s="382"/>
      <c r="K266" s="382"/>
      <c r="L266" s="382"/>
      <c r="M266" s="382"/>
      <c r="N266" s="382"/>
      <c r="O266" s="974"/>
      <c r="P266" s="975"/>
      <c r="R266" s="141"/>
      <c r="Y266" s="20"/>
    </row>
    <row r="267" spans="2:25" x14ac:dyDescent="0.3">
      <c r="B267" s="19"/>
      <c r="C267" s="70" t="s">
        <v>2567</v>
      </c>
      <c r="Y267" s="20"/>
    </row>
    <row r="268" spans="2:25" x14ac:dyDescent="0.3">
      <c r="B268" s="19"/>
      <c r="D268" s="381" t="s">
        <v>2477</v>
      </c>
      <c r="E268" s="382"/>
      <c r="F268" s="382"/>
      <c r="G268" s="382"/>
      <c r="H268" s="382"/>
      <c r="I268" s="382"/>
      <c r="J268" s="382"/>
      <c r="K268" s="382"/>
      <c r="L268" s="382"/>
      <c r="M268" s="382"/>
      <c r="N268" s="382"/>
      <c r="O268" s="851" t="s">
        <v>2569</v>
      </c>
      <c r="P268" s="980"/>
      <c r="Q268" s="980"/>
      <c r="R268" s="980"/>
      <c r="S268" s="980"/>
      <c r="T268" s="852"/>
      <c r="Y268" s="20"/>
    </row>
    <row r="269" spans="2:25" x14ac:dyDescent="0.3">
      <c r="B269" s="19"/>
      <c r="D269" s="381" t="s">
        <v>2478</v>
      </c>
      <c r="E269" s="382"/>
      <c r="F269" s="382"/>
      <c r="G269" s="382"/>
      <c r="H269" s="382"/>
      <c r="I269" s="382"/>
      <c r="J269" s="382"/>
      <c r="K269" s="382"/>
      <c r="L269" s="382"/>
      <c r="M269" s="382"/>
      <c r="N269" s="382"/>
      <c r="O269" s="974"/>
      <c r="P269" s="975"/>
      <c r="R269" s="141"/>
      <c r="Y269" s="20"/>
    </row>
    <row r="270" spans="2:25" x14ac:dyDescent="0.3">
      <c r="B270" s="19"/>
      <c r="C270" s="42" t="s">
        <v>2529</v>
      </c>
      <c r="D270" s="383"/>
      <c r="E270" s="383"/>
      <c r="F270" s="383"/>
      <c r="G270" s="383"/>
      <c r="H270" s="383"/>
      <c r="I270" s="383"/>
      <c r="J270" s="383"/>
      <c r="K270" s="383"/>
      <c r="L270" s="383"/>
      <c r="M270" s="383"/>
      <c r="N270" s="383"/>
      <c r="O270" s="402"/>
      <c r="P270" s="402"/>
      <c r="R270" s="141"/>
      <c r="Y270" s="20"/>
    </row>
    <row r="271" spans="2:25" x14ac:dyDescent="0.3">
      <c r="B271" s="19"/>
      <c r="C271" s="70" t="s">
        <v>2566</v>
      </c>
      <c r="O271" s="403"/>
      <c r="P271" s="403"/>
      <c r="Y271" s="20"/>
    </row>
    <row r="272" spans="2:25" x14ac:dyDescent="0.3">
      <c r="B272" s="19"/>
      <c r="C272" s="981" t="s">
        <v>2570</v>
      </c>
      <c r="D272" s="981"/>
      <c r="E272" s="981"/>
      <c r="F272" s="981"/>
      <c r="G272" s="981"/>
      <c r="H272" s="981"/>
      <c r="I272" s="981"/>
      <c r="J272" s="981"/>
      <c r="K272" s="981"/>
      <c r="L272" s="981"/>
      <c r="M272" s="981"/>
      <c r="N272" s="982"/>
      <c r="O272" s="983">
        <f>IF(ISBLANK(O262),0,ROUND($O$262/100*$O$288,2))</f>
        <v>0</v>
      </c>
      <c r="P272" s="984"/>
      <c r="Y272" s="20"/>
    </row>
    <row r="273" spans="2:38" ht="15" customHeight="1" x14ac:dyDescent="0.3">
      <c r="B273" s="19"/>
      <c r="C273" s="981" t="s">
        <v>2492</v>
      </c>
      <c r="D273" s="981"/>
      <c r="E273" s="981"/>
      <c r="F273" s="981"/>
      <c r="G273" s="981"/>
      <c r="H273" s="981"/>
      <c r="I273" s="981"/>
      <c r="J273" s="981"/>
      <c r="K273" s="981"/>
      <c r="L273" s="981"/>
      <c r="M273" s="981"/>
      <c r="N273" s="982"/>
      <c r="O273" s="976"/>
      <c r="P273" s="977"/>
      <c r="Q273" s="65" t="s">
        <v>380</v>
      </c>
      <c r="R273" s="141" t="str">
        <f>IF(O273&gt;O272,"Attention : surface saisie &gt; SAU hors cultures pérennes en zone vulnérable","")</f>
        <v/>
      </c>
      <c r="Y273" s="20"/>
    </row>
    <row r="274" spans="2:38" ht="15" customHeight="1" x14ac:dyDescent="0.3">
      <c r="B274" s="19"/>
      <c r="C274" s="174" t="s">
        <v>2530</v>
      </c>
      <c r="D274" s="174"/>
      <c r="E274" s="174"/>
      <c r="F274" s="174"/>
      <c r="G274" s="174"/>
      <c r="H274" s="174"/>
      <c r="I274" s="174"/>
      <c r="J274" s="174"/>
      <c r="K274" s="174"/>
      <c r="L274" s="174"/>
      <c r="M274" s="174"/>
      <c r="N274" s="174"/>
      <c r="O274" s="919"/>
      <c r="P274" s="920"/>
      <c r="Y274" s="20"/>
    </row>
    <row r="275" spans="2:38" x14ac:dyDescent="0.3">
      <c r="B275" s="19"/>
      <c r="C275" s="70" t="s">
        <v>2567</v>
      </c>
      <c r="Y275" s="20"/>
    </row>
    <row r="276" spans="2:38" x14ac:dyDescent="0.3">
      <c r="B276" s="19"/>
      <c r="C276" s="981" t="s">
        <v>2570</v>
      </c>
      <c r="D276" s="981"/>
      <c r="E276" s="981"/>
      <c r="F276" s="981"/>
      <c r="G276" s="981"/>
      <c r="H276" s="981"/>
      <c r="I276" s="981"/>
      <c r="J276" s="981"/>
      <c r="K276" s="981"/>
      <c r="L276" s="981"/>
      <c r="M276" s="981"/>
      <c r="N276" s="982"/>
      <c r="O276" s="983">
        <f>IF(ISBLANK(O262),0,ROUND((1-$O$262/100)*$O$288,2))</f>
        <v>0</v>
      </c>
      <c r="P276" s="984"/>
      <c r="Y276" s="20"/>
    </row>
    <row r="277" spans="2:38" ht="15" customHeight="1" x14ac:dyDescent="0.3">
      <c r="B277" s="19"/>
      <c r="C277" s="981" t="s">
        <v>2492</v>
      </c>
      <c r="D277" s="981"/>
      <c r="E277" s="981"/>
      <c r="F277" s="981"/>
      <c r="G277" s="981"/>
      <c r="H277" s="981"/>
      <c r="I277" s="981"/>
      <c r="J277" s="981"/>
      <c r="K277" s="981"/>
      <c r="L277" s="981"/>
      <c r="M277" s="981"/>
      <c r="N277" s="982"/>
      <c r="O277" s="976"/>
      <c r="P277" s="977"/>
      <c r="Q277" s="65" t="s">
        <v>380</v>
      </c>
      <c r="R277" s="141" t="str">
        <f>IF(O277&gt;O276,"Attention : surface saisie &gt; SAU hors cultures pérennes hors zone vulnérable","")</f>
        <v/>
      </c>
      <c r="Y277" s="20"/>
    </row>
    <row r="278" spans="2:38" ht="15" customHeight="1" x14ac:dyDescent="0.3">
      <c r="B278" s="19"/>
      <c r="C278" s="174" t="s">
        <v>2530</v>
      </c>
      <c r="D278" s="174"/>
      <c r="E278" s="174"/>
      <c r="F278" s="174"/>
      <c r="G278" s="174"/>
      <c r="H278" s="174"/>
      <c r="I278" s="174"/>
      <c r="J278" s="174"/>
      <c r="K278" s="174"/>
      <c r="L278" s="174"/>
      <c r="M278" s="174"/>
      <c r="N278" s="174"/>
      <c r="O278" s="919"/>
      <c r="P278" s="920"/>
      <c r="Y278" s="20"/>
    </row>
    <row r="279" spans="2:38" x14ac:dyDescent="0.3">
      <c r="B279" s="19"/>
      <c r="C279" s="168"/>
      <c r="D279" s="168"/>
      <c r="E279" s="168"/>
      <c r="F279" s="168"/>
      <c r="G279" s="168"/>
      <c r="H279" s="168"/>
      <c r="I279" s="168"/>
      <c r="J279" s="168"/>
      <c r="K279" s="168"/>
      <c r="L279" s="168"/>
      <c r="M279" s="168"/>
      <c r="N279" s="168"/>
      <c r="O279" s="36"/>
      <c r="P279" s="36"/>
      <c r="Y279" s="20"/>
    </row>
    <row r="280" spans="2:38" x14ac:dyDescent="0.3">
      <c r="B280" s="19"/>
      <c r="C280" s="42" t="s">
        <v>2531</v>
      </c>
      <c r="O280" s="860" t="s">
        <v>3214</v>
      </c>
      <c r="P280" s="860"/>
      <c r="Y280" s="20"/>
    </row>
    <row r="281" spans="2:38" x14ac:dyDescent="0.3">
      <c r="B281" s="19"/>
      <c r="C281" s="47" t="s">
        <v>2313</v>
      </c>
      <c r="D281" s="47"/>
      <c r="E281" s="47"/>
      <c r="F281" s="47"/>
      <c r="G281" s="47"/>
      <c r="H281" s="47"/>
      <c r="I281" s="47"/>
      <c r="J281" s="47"/>
      <c r="K281" s="47"/>
      <c r="L281" s="47"/>
      <c r="M281" s="47"/>
      <c r="N281" s="43"/>
      <c r="O281" s="837">
        <f>Phyto!J318</f>
        <v>0</v>
      </c>
      <c r="P281" s="838"/>
      <c r="Q281" s="679"/>
      <c r="R281" s="679"/>
      <c r="Y281" s="20"/>
    </row>
    <row r="282" spans="2:38" x14ac:dyDescent="0.3">
      <c r="B282" s="19"/>
      <c r="C282" s="48" t="s">
        <v>2314</v>
      </c>
      <c r="D282" s="48"/>
      <c r="E282" s="48"/>
      <c r="F282" s="48"/>
      <c r="G282" s="48"/>
      <c r="H282" s="48"/>
      <c r="I282" s="48"/>
      <c r="J282" s="48"/>
      <c r="K282" s="48"/>
      <c r="L282" s="48"/>
      <c r="M282" s="48"/>
      <c r="N282" s="44"/>
      <c r="O282" s="837">
        <f>Phyto!J319</f>
        <v>0</v>
      </c>
      <c r="P282" s="838"/>
      <c r="Q282" s="169"/>
      <c r="R282" s="169"/>
      <c r="Y282" s="20"/>
    </row>
    <row r="283" spans="2:38" x14ac:dyDescent="0.3">
      <c r="B283" s="19"/>
      <c r="C283" s="48" t="s">
        <v>3215</v>
      </c>
      <c r="D283" s="48"/>
      <c r="E283" s="48"/>
      <c r="F283" s="48"/>
      <c r="G283" s="48"/>
      <c r="H283" s="48"/>
      <c r="I283" s="48"/>
      <c r="J283" s="48"/>
      <c r="K283" s="48"/>
      <c r="L283" s="48"/>
      <c r="M283" s="48"/>
      <c r="N283" s="44"/>
      <c r="O283" s="844"/>
      <c r="P283" s="845"/>
      <c r="Q283" s="169"/>
      <c r="R283" s="169"/>
      <c r="Y283" s="20"/>
    </row>
    <row r="284" spans="2:38" x14ac:dyDescent="0.3">
      <c r="B284" s="19"/>
      <c r="Y284" s="20"/>
    </row>
    <row r="285" spans="2:38" x14ac:dyDescent="0.3">
      <c r="B285" s="19"/>
      <c r="Y285" s="20"/>
    </row>
    <row r="286" spans="2:38" x14ac:dyDescent="0.3">
      <c r="B286" s="19"/>
      <c r="C286" s="42"/>
      <c r="Q286" s="678"/>
      <c r="R286" s="678"/>
      <c r="Y286" s="20"/>
    </row>
    <row r="287" spans="2:38" x14ac:dyDescent="0.3">
      <c r="B287" s="19"/>
      <c r="Q287" s="94"/>
      <c r="R287" s="94"/>
      <c r="Y287" s="20"/>
      <c r="AH287" t="s">
        <v>244</v>
      </c>
      <c r="AI287" t="s">
        <v>2481</v>
      </c>
      <c r="AJ287">
        <v>100</v>
      </c>
    </row>
    <row r="288" spans="2:38" x14ac:dyDescent="0.3">
      <c r="B288" s="19"/>
      <c r="D288" s="75" t="s">
        <v>2353</v>
      </c>
      <c r="E288" s="75"/>
      <c r="F288" s="75"/>
      <c r="G288" s="75"/>
      <c r="H288" s="75"/>
      <c r="I288" s="75"/>
      <c r="J288" s="75"/>
      <c r="K288" s="75"/>
      <c r="L288" s="75"/>
      <c r="M288" s="75"/>
      <c r="N288" s="100"/>
      <c r="O288" s="963">
        <f>Surfaces!O25-Surfaces!O137-(SUM(Surfaces!O142:O159,Surfaces!O162))-(Surfaces!O198-Surfaces!O197)</f>
        <v>0</v>
      </c>
      <c r="P288" s="963"/>
      <c r="Q288" s="678" t="s">
        <v>3204</v>
      </c>
      <c r="R288" s="678"/>
      <c r="Y288" s="20"/>
      <c r="AH288" t="s">
        <v>2480</v>
      </c>
      <c r="AI288">
        <f>IF(O274=9,0.5,IF(O274=10,1,IF(O274=11,1.5,IF(O274&gt;=12,2,0))))</f>
        <v>0</v>
      </c>
      <c r="AJ288">
        <f>IF(O274=9,1,IF(O274=10,2,IF(O274=11,3,IF(O274&gt;=12,4,0))))</f>
        <v>0</v>
      </c>
      <c r="AL288" s="127"/>
    </row>
    <row r="289" spans="2:36" x14ac:dyDescent="0.3">
      <c r="B289" s="19"/>
      <c r="D289" s="76" t="s">
        <v>2571</v>
      </c>
      <c r="E289" s="76"/>
      <c r="F289" s="76"/>
      <c r="G289" s="76"/>
      <c r="H289" s="76"/>
      <c r="I289" s="76"/>
      <c r="J289" s="76"/>
      <c r="K289" s="76"/>
      <c r="L289" s="76"/>
      <c r="M289" s="76"/>
      <c r="N289" s="101"/>
      <c r="O289" s="958">
        <f>IFERROR(ROUND(O273/O272,2),0)</f>
        <v>0</v>
      </c>
      <c r="P289" s="958"/>
      <c r="Q289" s="774">
        <f>IF(O266="Oui",IF(O289=1,AJ288,IF(AND(O289&gt;=0.75,O289&lt;1),AI288,0)),0)</f>
        <v>0</v>
      </c>
      <c r="R289" s="775"/>
      <c r="Y289" s="20"/>
      <c r="AB289" s="150"/>
      <c r="AH289" t="s">
        <v>2479</v>
      </c>
      <c r="AI289">
        <f>IF(O278=7,0.5,IF(O278=8,1,IF(O278=9,1.5,IF(O278&gt;=10,2,0))))</f>
        <v>0</v>
      </c>
      <c r="AJ289">
        <f>IF(O278=7,1,IF(O278=8,2,IF(O278=9,3,IF(O278&gt;=10,4,0))))</f>
        <v>0</v>
      </c>
    </row>
    <row r="290" spans="2:36" x14ac:dyDescent="0.3">
      <c r="B290" s="19"/>
      <c r="D290" s="76" t="s">
        <v>2572</v>
      </c>
      <c r="E290" s="76"/>
      <c r="F290" s="76"/>
      <c r="G290" s="76"/>
      <c r="H290" s="76"/>
      <c r="I290" s="76"/>
      <c r="J290" s="76"/>
      <c r="K290" s="76"/>
      <c r="L290" s="76"/>
      <c r="M290" s="76"/>
      <c r="N290" s="101"/>
      <c r="O290" s="958">
        <f>IFERROR(ROUND(O277/O276,2),0)</f>
        <v>0</v>
      </c>
      <c r="P290" s="958"/>
      <c r="Q290" s="774">
        <f>IF(O269="Oui",IF(O290=1,AJ289,IF(AND(O290&gt;=0.75,O290&lt;1),AI289,0)),0)</f>
        <v>0</v>
      </c>
      <c r="R290" s="775"/>
      <c r="Y290" s="20"/>
      <c r="AB290" s="150"/>
    </row>
    <row r="291" spans="2:36" x14ac:dyDescent="0.3">
      <c r="B291" s="19"/>
      <c r="D291" s="76" t="s">
        <v>2316</v>
      </c>
      <c r="E291" s="76"/>
      <c r="F291" s="76"/>
      <c r="G291" s="76"/>
      <c r="H291" s="76"/>
      <c r="I291" s="76"/>
      <c r="J291" s="76"/>
      <c r="K291" s="76"/>
      <c r="L291" s="76"/>
      <c r="M291" s="76"/>
      <c r="N291" s="101"/>
      <c r="O291" s="837">
        <f>Phyto!J328</f>
        <v>0</v>
      </c>
      <c r="P291" s="838"/>
      <c r="Q291" s="774">
        <f>Phyto!L328</f>
        <v>0</v>
      </c>
      <c r="R291" s="775"/>
      <c r="Y291" s="20"/>
    </row>
    <row r="292" spans="2:36" x14ac:dyDescent="0.3">
      <c r="B292" s="19"/>
      <c r="D292" s="76" t="s">
        <v>2317</v>
      </c>
      <c r="E292" s="76"/>
      <c r="F292" s="76"/>
      <c r="G292" s="76"/>
      <c r="H292" s="76"/>
      <c r="I292" s="76"/>
      <c r="J292" s="76"/>
      <c r="K292" s="76"/>
      <c r="L292" s="76"/>
      <c r="M292" s="76"/>
      <c r="N292" s="101"/>
      <c r="O292" s="958">
        <f>Phyto!J329</f>
        <v>0</v>
      </c>
      <c r="P292" s="958"/>
      <c r="Q292" s="774">
        <f>Phyto!L329</f>
        <v>0</v>
      </c>
      <c r="R292" s="775"/>
      <c r="Y292" s="20"/>
    </row>
    <row r="293" spans="2:36" x14ac:dyDescent="0.3">
      <c r="B293" s="19"/>
      <c r="D293" s="76" t="s">
        <v>2318</v>
      </c>
      <c r="E293" s="76"/>
      <c r="F293" s="76"/>
      <c r="G293" s="76"/>
      <c r="H293" s="76"/>
      <c r="I293" s="76"/>
      <c r="J293" s="76"/>
      <c r="K293" s="76"/>
      <c r="L293" s="76"/>
      <c r="M293" s="76"/>
      <c r="N293" s="101"/>
      <c r="O293" s="958">
        <f>SURFACE_COUVERTE_HORTI_PEPI</f>
        <v>0</v>
      </c>
      <c r="P293" s="958"/>
      <c r="Q293" s="774">
        <f>IF(O293=1,3,IF(O293&gt;=0.75,2,IF(O293&gt;=0.5,1,0)))</f>
        <v>0</v>
      </c>
      <c r="R293" s="775"/>
      <c r="Y293" s="20"/>
    </row>
    <row r="294" spans="2:36" x14ac:dyDescent="0.3">
      <c r="B294" s="19"/>
      <c r="Q294" s="141"/>
      <c r="Y294" s="20"/>
    </row>
    <row r="295" spans="2:36" x14ac:dyDescent="0.3">
      <c r="B295" s="19"/>
      <c r="D295" s="75" t="s">
        <v>2573</v>
      </c>
      <c r="E295" s="75"/>
      <c r="F295" s="75"/>
      <c r="G295" s="75"/>
      <c r="H295" s="75"/>
      <c r="I295" s="75"/>
      <c r="J295" s="75"/>
      <c r="K295" s="75"/>
      <c r="L295" s="75"/>
      <c r="M295" s="75"/>
      <c r="N295" s="100"/>
      <c r="O295" s="958">
        <f>IFERROR(O272/Surfaces!O25,0)</f>
        <v>0</v>
      </c>
      <c r="P295" s="958"/>
      <c r="Q295" s="917">
        <f>IFERROR(Q289*O295,0)</f>
        <v>0</v>
      </c>
      <c r="R295" s="918"/>
      <c r="W295" s="301"/>
      <c r="X295" s="301"/>
      <c r="Y295" s="20"/>
    </row>
    <row r="296" spans="2:36" x14ac:dyDescent="0.3">
      <c r="B296" s="19"/>
      <c r="D296" s="75" t="s">
        <v>2574</v>
      </c>
      <c r="E296" s="75"/>
      <c r="F296" s="75"/>
      <c r="G296" s="75"/>
      <c r="H296" s="75"/>
      <c r="I296" s="75"/>
      <c r="J296" s="75"/>
      <c r="K296" s="75"/>
      <c r="L296" s="75"/>
      <c r="M296" s="75"/>
      <c r="N296" s="100"/>
      <c r="O296" s="958">
        <f>IFERROR(O276/Surfaces!O25,0)</f>
        <v>0</v>
      </c>
      <c r="P296" s="958"/>
      <c r="Q296" s="917">
        <f>IFERROR(Q290*O296,0)</f>
        <v>0</v>
      </c>
      <c r="R296" s="918"/>
      <c r="W296" s="301"/>
      <c r="X296" s="301"/>
      <c r="Y296" s="20"/>
    </row>
    <row r="297" spans="2:36" x14ac:dyDescent="0.3">
      <c r="B297" s="19"/>
      <c r="D297" s="76" t="s">
        <v>2532</v>
      </c>
      <c r="E297" s="76"/>
      <c r="F297" s="76"/>
      <c r="G297" s="76"/>
      <c r="H297" s="76"/>
      <c r="I297" s="76"/>
      <c r="J297" s="76"/>
      <c r="K297" s="76"/>
      <c r="L297" s="76"/>
      <c r="M297" s="76"/>
      <c r="N297" s="101"/>
      <c r="O297" s="958">
        <f>IFERROR(Phyto!J325/cSAU,0)</f>
        <v>0</v>
      </c>
      <c r="P297" s="958"/>
      <c r="Q297" s="917">
        <f>IFERROR(Q291*O297,0)</f>
        <v>0</v>
      </c>
      <c r="R297" s="918"/>
      <c r="Y297" s="20"/>
    </row>
    <row r="298" spans="2:36" x14ac:dyDescent="0.3">
      <c r="B298" s="19"/>
      <c r="D298" s="75" t="s">
        <v>2493</v>
      </c>
      <c r="E298" s="75"/>
      <c r="F298" s="75"/>
      <c r="G298" s="75"/>
      <c r="H298" s="75"/>
      <c r="I298" s="75"/>
      <c r="J298" s="75"/>
      <c r="K298" s="75"/>
      <c r="L298" s="75"/>
      <c r="M298" s="75"/>
      <c r="N298" s="75"/>
      <c r="O298" s="958">
        <f>IFERROR(Phyto!J326/cSAU,0)</f>
        <v>0</v>
      </c>
      <c r="P298" s="958"/>
      <c r="Q298" s="917">
        <f>IFERROR(Q292*O298,0)</f>
        <v>0</v>
      </c>
      <c r="R298" s="918"/>
      <c r="W298" s="301"/>
      <c r="X298" s="301"/>
      <c r="Y298" s="20"/>
    </row>
    <row r="299" spans="2:36" x14ac:dyDescent="0.3">
      <c r="B299" s="19"/>
      <c r="D299" s="75" t="s">
        <v>2494</v>
      </c>
      <c r="E299" s="75"/>
      <c r="F299" s="75"/>
      <c r="G299" s="75"/>
      <c r="H299" s="75"/>
      <c r="I299" s="75"/>
      <c r="J299" s="75"/>
      <c r="K299" s="75"/>
      <c r="L299" s="75"/>
      <c r="M299" s="75"/>
      <c r="N299" s="75"/>
      <c r="O299" s="958">
        <f>IFERROR(Phyto!J327/cSAU,0)</f>
        <v>0</v>
      </c>
      <c r="P299" s="958"/>
      <c r="Q299" s="917">
        <f>IFERROR(Q293*O299,0)</f>
        <v>0</v>
      </c>
      <c r="R299" s="918"/>
      <c r="V299" s="680" t="s">
        <v>3205</v>
      </c>
      <c r="W299" s="680"/>
      <c r="X299" s="680"/>
      <c r="Y299" s="681"/>
    </row>
    <row r="300" spans="2:36" x14ac:dyDescent="0.3">
      <c r="B300" s="19"/>
      <c r="D300" s="149" t="s">
        <v>417</v>
      </c>
      <c r="E300" s="40"/>
      <c r="F300" s="40"/>
      <c r="G300" s="40"/>
      <c r="H300" s="40"/>
      <c r="I300" s="40"/>
      <c r="J300" s="40"/>
      <c r="K300" s="40"/>
      <c r="L300" s="40"/>
      <c r="M300" s="40"/>
      <c r="N300" s="40"/>
      <c r="O300" s="176"/>
      <c r="P300" s="45"/>
      <c r="Q300" s="917">
        <f>SUM(Q295:R299)</f>
        <v>0</v>
      </c>
      <c r="R300" s="918"/>
      <c r="W300" s="694">
        <f>IF(cSAU=0,7,(4*(O295+O296)+3*(O297+O298+O299)))</f>
        <v>7</v>
      </c>
      <c r="X300" s="695"/>
      <c r="Y300" s="20"/>
    </row>
    <row r="301" spans="2:36" x14ac:dyDescent="0.3">
      <c r="B301" s="19"/>
      <c r="O301" s="141"/>
      <c r="Q301" s="141"/>
      <c r="Y301" s="20"/>
    </row>
    <row r="302" spans="2:36" x14ac:dyDescent="0.3">
      <c r="B302" s="19"/>
      <c r="O302" s="141"/>
      <c r="Q302" s="141"/>
      <c r="Y302" s="20"/>
    </row>
    <row r="303" spans="2:36" x14ac:dyDescent="0.3">
      <c r="B303" s="19"/>
      <c r="D303" s="70" t="s">
        <v>2472</v>
      </c>
      <c r="Y303" s="20"/>
    </row>
    <row r="304" spans="2:36" x14ac:dyDescent="0.3">
      <c r="B304" s="19"/>
      <c r="D304" s="652"/>
      <c r="E304" s="653"/>
      <c r="F304" s="653"/>
      <c r="G304" s="653"/>
      <c r="H304" s="653"/>
      <c r="I304" s="653"/>
      <c r="J304" s="653"/>
      <c r="K304" s="653"/>
      <c r="L304" s="653"/>
      <c r="M304" s="653"/>
      <c r="N304" s="653"/>
      <c r="O304" s="653"/>
      <c r="P304" s="653"/>
      <c r="Q304" s="653"/>
      <c r="R304" s="653"/>
      <c r="S304" s="653"/>
      <c r="T304" s="653"/>
      <c r="U304" s="653"/>
      <c r="V304" s="653"/>
      <c r="W304" s="653"/>
      <c r="X304" s="654"/>
      <c r="Y304" s="20"/>
    </row>
    <row r="305" spans="2:25" x14ac:dyDescent="0.3">
      <c r="B305" s="19"/>
      <c r="D305" s="655"/>
      <c r="E305" s="656"/>
      <c r="F305" s="656"/>
      <c r="G305" s="656"/>
      <c r="H305" s="656"/>
      <c r="I305" s="656"/>
      <c r="J305" s="656"/>
      <c r="K305" s="656"/>
      <c r="L305" s="656"/>
      <c r="M305" s="656"/>
      <c r="N305" s="656"/>
      <c r="O305" s="656"/>
      <c r="P305" s="656"/>
      <c r="Q305" s="656"/>
      <c r="R305" s="656"/>
      <c r="S305" s="656"/>
      <c r="T305" s="656"/>
      <c r="U305" s="656"/>
      <c r="V305" s="656"/>
      <c r="W305" s="656"/>
      <c r="X305" s="657"/>
      <c r="Y305" s="20"/>
    </row>
    <row r="306" spans="2:25" x14ac:dyDescent="0.3">
      <c r="B306" s="19"/>
      <c r="D306" s="655"/>
      <c r="E306" s="656"/>
      <c r="F306" s="656"/>
      <c r="G306" s="656"/>
      <c r="H306" s="656"/>
      <c r="I306" s="656"/>
      <c r="J306" s="656"/>
      <c r="K306" s="656"/>
      <c r="L306" s="656"/>
      <c r="M306" s="656"/>
      <c r="N306" s="656"/>
      <c r="O306" s="656"/>
      <c r="P306" s="656"/>
      <c r="Q306" s="656"/>
      <c r="R306" s="656"/>
      <c r="S306" s="656"/>
      <c r="T306" s="656"/>
      <c r="U306" s="656"/>
      <c r="V306" s="656"/>
      <c r="W306" s="656"/>
      <c r="X306" s="657"/>
      <c r="Y306" s="20"/>
    </row>
    <row r="307" spans="2:25" x14ac:dyDescent="0.3">
      <c r="B307" s="19"/>
      <c r="D307" s="655"/>
      <c r="E307" s="656"/>
      <c r="F307" s="656"/>
      <c r="G307" s="656"/>
      <c r="H307" s="656"/>
      <c r="I307" s="656"/>
      <c r="J307" s="656"/>
      <c r="K307" s="656"/>
      <c r="L307" s="656"/>
      <c r="M307" s="656"/>
      <c r="N307" s="656"/>
      <c r="O307" s="656"/>
      <c r="P307" s="656"/>
      <c r="Q307" s="656"/>
      <c r="R307" s="656"/>
      <c r="S307" s="656"/>
      <c r="T307" s="656"/>
      <c r="U307" s="656"/>
      <c r="V307" s="656"/>
      <c r="W307" s="656"/>
      <c r="X307" s="657"/>
      <c r="Y307" s="20"/>
    </row>
    <row r="308" spans="2:25" x14ac:dyDescent="0.3">
      <c r="B308" s="19"/>
      <c r="D308" s="658"/>
      <c r="E308" s="659"/>
      <c r="F308" s="659"/>
      <c r="G308" s="659"/>
      <c r="H308" s="659"/>
      <c r="I308" s="659"/>
      <c r="J308" s="659"/>
      <c r="K308" s="659"/>
      <c r="L308" s="659"/>
      <c r="M308" s="659"/>
      <c r="N308" s="659"/>
      <c r="O308" s="659"/>
      <c r="P308" s="659"/>
      <c r="Q308" s="659"/>
      <c r="R308" s="659"/>
      <c r="S308" s="659"/>
      <c r="T308" s="659"/>
      <c r="U308" s="659"/>
      <c r="V308" s="659"/>
      <c r="W308" s="659"/>
      <c r="X308" s="660"/>
      <c r="Y308" s="20"/>
    </row>
    <row r="309" spans="2:25" x14ac:dyDescent="0.3">
      <c r="B309" s="19"/>
      <c r="O309" s="141"/>
      <c r="Q309" s="141"/>
      <c r="Y309" s="20"/>
    </row>
    <row r="310" spans="2:25" ht="15" thickBot="1" x14ac:dyDescent="0.35">
      <c r="B310" s="22"/>
      <c r="C310" s="23"/>
      <c r="D310" s="23"/>
      <c r="E310" s="23"/>
      <c r="F310" s="23"/>
      <c r="G310" s="23"/>
      <c r="H310" s="23"/>
      <c r="I310" s="23"/>
      <c r="J310" s="23"/>
      <c r="K310" s="23"/>
      <c r="L310" s="23"/>
      <c r="M310" s="23"/>
      <c r="N310" s="23"/>
      <c r="O310" s="23"/>
      <c r="P310" s="23"/>
      <c r="Q310" s="23"/>
      <c r="R310" s="23"/>
      <c r="S310" s="23"/>
      <c r="T310" s="23"/>
      <c r="U310" s="23"/>
      <c r="V310" s="23"/>
      <c r="W310" s="23"/>
      <c r="X310" s="23"/>
      <c r="Y310" s="24"/>
    </row>
    <row r="313" spans="2:25" ht="15" thickBot="1" x14ac:dyDescent="0.35"/>
    <row r="314" spans="2:25" x14ac:dyDescent="0.3">
      <c r="B314" s="16"/>
      <c r="C314" s="17"/>
      <c r="D314" s="17"/>
      <c r="E314" s="17"/>
      <c r="F314" s="17"/>
      <c r="G314" s="17"/>
      <c r="H314" s="17"/>
      <c r="I314" s="17"/>
      <c r="J314" s="17"/>
      <c r="K314" s="17"/>
      <c r="L314" s="17"/>
      <c r="M314" s="17"/>
      <c r="N314" s="17"/>
      <c r="O314" s="17"/>
      <c r="P314" s="17"/>
      <c r="Q314" s="17"/>
      <c r="R314" s="17"/>
      <c r="S314" s="17"/>
      <c r="T314" s="17"/>
      <c r="U314" s="17"/>
      <c r="V314" s="17"/>
      <c r="W314" s="17"/>
      <c r="X314" s="17"/>
      <c r="Y314" s="18"/>
    </row>
    <row r="315" spans="2:25" x14ac:dyDescent="0.3">
      <c r="B315" s="19"/>
      <c r="O315" s="65"/>
      <c r="P315" s="65"/>
      <c r="Y315" s="20"/>
    </row>
    <row r="316" spans="2:25" x14ac:dyDescent="0.3">
      <c r="B316" s="19"/>
      <c r="C316" s="141" t="s">
        <v>2549</v>
      </c>
      <c r="O316" s="65"/>
      <c r="P316" s="65"/>
      <c r="Y316" s="20"/>
    </row>
    <row r="317" spans="2:25" x14ac:dyDescent="0.3">
      <c r="B317" s="19"/>
      <c r="O317" s="679" t="s">
        <v>335</v>
      </c>
      <c r="P317" s="679"/>
      <c r="Y317" s="20"/>
    </row>
    <row r="318" spans="2:25" x14ac:dyDescent="0.3">
      <c r="B318" s="19"/>
      <c r="C318" s="47" t="s">
        <v>2354</v>
      </c>
      <c r="D318" s="47"/>
      <c r="E318" s="47"/>
      <c r="F318" s="47"/>
      <c r="G318" s="47"/>
      <c r="H318" s="47"/>
      <c r="I318" s="47"/>
      <c r="J318" s="47"/>
      <c r="K318" s="47"/>
      <c r="L318" s="47"/>
      <c r="M318" s="47"/>
      <c r="N318" s="43"/>
      <c r="O318" s="833"/>
      <c r="P318" s="834"/>
      <c r="R318" s="141" t="str">
        <f>IF(O318&gt;O322,"Attention : surface saisie &gt; surface en horticulture","")</f>
        <v/>
      </c>
      <c r="Y318" s="20"/>
    </row>
    <row r="319" spans="2:25" x14ac:dyDescent="0.3">
      <c r="B319" s="19"/>
      <c r="Y319" s="20"/>
    </row>
    <row r="320" spans="2:25" x14ac:dyDescent="0.3">
      <c r="B320" s="19"/>
      <c r="C320" s="42"/>
      <c r="Q320" s="678"/>
      <c r="R320" s="678"/>
      <c r="Y320" s="20"/>
    </row>
    <row r="321" spans="2:25" x14ac:dyDescent="0.3">
      <c r="B321" s="19"/>
      <c r="Q321" s="94"/>
      <c r="R321" s="94"/>
      <c r="Y321" s="20"/>
    </row>
    <row r="322" spans="2:25" x14ac:dyDescent="0.3">
      <c r="B322" s="19"/>
      <c r="D322" s="75" t="s">
        <v>2355</v>
      </c>
      <c r="E322" s="75"/>
      <c r="F322" s="75"/>
      <c r="G322" s="75"/>
      <c r="H322" s="75"/>
      <c r="I322" s="75"/>
      <c r="J322" s="75"/>
      <c r="K322" s="75"/>
      <c r="L322" s="75"/>
      <c r="M322" s="75"/>
      <c r="N322" s="100"/>
      <c r="O322" s="840">
        <f>Surfaces!O198</f>
        <v>0</v>
      </c>
      <c r="P322" s="841"/>
      <c r="Q322" s="141"/>
      <c r="Y322" s="20"/>
    </row>
    <row r="323" spans="2:25" x14ac:dyDescent="0.3">
      <c r="B323" s="19"/>
      <c r="D323" s="76" t="s">
        <v>336</v>
      </c>
      <c r="E323" s="76"/>
      <c r="F323" s="76"/>
      <c r="G323" s="76"/>
      <c r="H323" s="76"/>
      <c r="I323" s="76"/>
      <c r="J323" s="76"/>
      <c r="K323" s="76"/>
      <c r="L323" s="76"/>
      <c r="M323" s="76"/>
      <c r="N323" s="101"/>
      <c r="O323" s="958">
        <f>IFERROR(O318/O322,0)</f>
        <v>0</v>
      </c>
      <c r="P323" s="958"/>
      <c r="Q323" s="678" t="s">
        <v>3204</v>
      </c>
      <c r="R323" s="678"/>
      <c r="Y323" s="20"/>
    </row>
    <row r="324" spans="2:25" x14ac:dyDescent="0.3">
      <c r="B324" s="19"/>
      <c r="D324" s="75" t="s">
        <v>729</v>
      </c>
      <c r="E324" s="75"/>
      <c r="F324" s="75"/>
      <c r="G324" s="75"/>
      <c r="H324" s="75"/>
      <c r="I324" s="75"/>
      <c r="J324" s="75"/>
      <c r="K324" s="75"/>
      <c r="L324" s="75"/>
      <c r="M324" s="75"/>
      <c r="N324" s="75"/>
      <c r="O324" s="138"/>
      <c r="P324" s="138"/>
      <c r="Q324" s="835">
        <f>IF(AND(O323&gt;=0.25,O323&lt;0.5),2,IF(AND(O323&gt;=0.5,O323&lt;0.75),4,IF(O323&gt;=0.75,6,0)))</f>
        <v>0</v>
      </c>
      <c r="R324" s="836"/>
      <c r="V324" s="680" t="s">
        <v>3205</v>
      </c>
      <c r="W324" s="680"/>
      <c r="X324" s="680"/>
      <c r="Y324" s="681"/>
    </row>
    <row r="325" spans="2:25" x14ac:dyDescent="0.3">
      <c r="B325" s="19"/>
      <c r="D325" s="76" t="s">
        <v>716</v>
      </c>
      <c r="E325" s="76"/>
      <c r="F325" s="76"/>
      <c r="G325" s="76"/>
      <c r="H325" s="76"/>
      <c r="I325" s="76"/>
      <c r="J325" s="76"/>
      <c r="K325" s="76"/>
      <c r="L325" s="76"/>
      <c r="M325" s="76"/>
      <c r="N325" s="76"/>
      <c r="O325" s="308"/>
      <c r="P325" s="308"/>
      <c r="Q325" s="917">
        <f>IF(cSAU=0,0,Q324* (O322/Surfaces!O25))</f>
        <v>0</v>
      </c>
      <c r="R325" s="918"/>
      <c r="W325" s="694">
        <f>IF(cSAU=0,6,6*(O322/Surfaces!O25))</f>
        <v>6</v>
      </c>
      <c r="X325" s="695"/>
      <c r="Y325" s="20"/>
    </row>
    <row r="326" spans="2:25" x14ac:dyDescent="0.3">
      <c r="B326" s="19"/>
      <c r="Y326" s="20"/>
    </row>
    <row r="327" spans="2:25" x14ac:dyDescent="0.3">
      <c r="B327" s="19"/>
      <c r="Y327" s="20"/>
    </row>
    <row r="328" spans="2:25" x14ac:dyDescent="0.3">
      <c r="B328" s="19"/>
      <c r="D328" s="70" t="s">
        <v>2472</v>
      </c>
      <c r="Y328" s="20"/>
    </row>
    <row r="329" spans="2:25" x14ac:dyDescent="0.3">
      <c r="B329" s="19"/>
      <c r="D329" s="652"/>
      <c r="E329" s="653"/>
      <c r="F329" s="653"/>
      <c r="G329" s="653"/>
      <c r="H329" s="653"/>
      <c r="I329" s="653"/>
      <c r="J329" s="653"/>
      <c r="K329" s="653"/>
      <c r="L329" s="653"/>
      <c r="M329" s="653"/>
      <c r="N329" s="653"/>
      <c r="O329" s="653"/>
      <c r="P329" s="653"/>
      <c r="Q329" s="653"/>
      <c r="R329" s="653"/>
      <c r="S329" s="653"/>
      <c r="T329" s="653"/>
      <c r="U329" s="653"/>
      <c r="V329" s="653"/>
      <c r="W329" s="653"/>
      <c r="X329" s="654"/>
      <c r="Y329" s="20"/>
    </row>
    <row r="330" spans="2:25" x14ac:dyDescent="0.3">
      <c r="B330" s="19"/>
      <c r="D330" s="655"/>
      <c r="E330" s="656"/>
      <c r="F330" s="656"/>
      <c r="G330" s="656"/>
      <c r="H330" s="656"/>
      <c r="I330" s="656"/>
      <c r="J330" s="656"/>
      <c r="K330" s="656"/>
      <c r="L330" s="656"/>
      <c r="M330" s="656"/>
      <c r="N330" s="656"/>
      <c r="O330" s="656"/>
      <c r="P330" s="656"/>
      <c r="Q330" s="656"/>
      <c r="R330" s="656"/>
      <c r="S330" s="656"/>
      <c r="T330" s="656"/>
      <c r="U330" s="656"/>
      <c r="V330" s="656"/>
      <c r="W330" s="656"/>
      <c r="X330" s="657"/>
      <c r="Y330" s="20"/>
    </row>
    <row r="331" spans="2:25" x14ac:dyDescent="0.3">
      <c r="B331" s="19"/>
      <c r="D331" s="655"/>
      <c r="E331" s="656"/>
      <c r="F331" s="656"/>
      <c r="G331" s="656"/>
      <c r="H331" s="656"/>
      <c r="I331" s="656"/>
      <c r="J331" s="656"/>
      <c r="K331" s="656"/>
      <c r="L331" s="656"/>
      <c r="M331" s="656"/>
      <c r="N331" s="656"/>
      <c r="O331" s="656"/>
      <c r="P331" s="656"/>
      <c r="Q331" s="656"/>
      <c r="R331" s="656"/>
      <c r="S331" s="656"/>
      <c r="T331" s="656"/>
      <c r="U331" s="656"/>
      <c r="V331" s="656"/>
      <c r="W331" s="656"/>
      <c r="X331" s="657"/>
      <c r="Y331" s="20"/>
    </row>
    <row r="332" spans="2:25" x14ac:dyDescent="0.3">
      <c r="B332" s="19"/>
      <c r="D332" s="655"/>
      <c r="E332" s="656"/>
      <c r="F332" s="656"/>
      <c r="G332" s="656"/>
      <c r="H332" s="656"/>
      <c r="I332" s="656"/>
      <c r="J332" s="656"/>
      <c r="K332" s="656"/>
      <c r="L332" s="656"/>
      <c r="M332" s="656"/>
      <c r="N332" s="656"/>
      <c r="O332" s="656"/>
      <c r="P332" s="656"/>
      <c r="Q332" s="656"/>
      <c r="R332" s="656"/>
      <c r="S332" s="656"/>
      <c r="T332" s="656"/>
      <c r="U332" s="656"/>
      <c r="V332" s="656"/>
      <c r="W332" s="656"/>
      <c r="X332" s="657"/>
      <c r="Y332" s="20"/>
    </row>
    <row r="333" spans="2:25" x14ac:dyDescent="0.3">
      <c r="B333" s="19"/>
      <c r="D333" s="658"/>
      <c r="E333" s="659"/>
      <c r="F333" s="659"/>
      <c r="G333" s="659"/>
      <c r="H333" s="659"/>
      <c r="I333" s="659"/>
      <c r="J333" s="659"/>
      <c r="K333" s="659"/>
      <c r="L333" s="659"/>
      <c r="M333" s="659"/>
      <c r="N333" s="659"/>
      <c r="O333" s="659"/>
      <c r="P333" s="659"/>
      <c r="Q333" s="659"/>
      <c r="R333" s="659"/>
      <c r="S333" s="659"/>
      <c r="T333" s="659"/>
      <c r="U333" s="659"/>
      <c r="V333" s="659"/>
      <c r="W333" s="659"/>
      <c r="X333" s="660"/>
      <c r="Y333" s="20"/>
    </row>
    <row r="334" spans="2:25" x14ac:dyDescent="0.3">
      <c r="B334" s="19"/>
      <c r="Y334" s="20"/>
    </row>
    <row r="335" spans="2:25" ht="15" thickBot="1" x14ac:dyDescent="0.35">
      <c r="B335" s="22"/>
      <c r="C335" s="23"/>
      <c r="D335" s="23"/>
      <c r="E335" s="23"/>
      <c r="F335" s="23"/>
      <c r="G335" s="23"/>
      <c r="H335" s="23"/>
      <c r="I335" s="23"/>
      <c r="J335" s="23"/>
      <c r="K335" s="23"/>
      <c r="L335" s="23"/>
      <c r="M335" s="23"/>
      <c r="N335" s="23"/>
      <c r="O335" s="23"/>
      <c r="P335" s="23"/>
      <c r="Q335" s="23"/>
      <c r="R335" s="23"/>
      <c r="S335" s="23"/>
      <c r="T335" s="23"/>
      <c r="U335" s="23"/>
      <c r="V335" s="23"/>
      <c r="W335" s="23"/>
      <c r="X335" s="23"/>
      <c r="Y335" s="24"/>
    </row>
    <row r="338" spans="2:25" ht="15" thickBot="1" x14ac:dyDescent="0.35"/>
    <row r="339" spans="2:25" x14ac:dyDescent="0.3">
      <c r="B339" s="16"/>
      <c r="C339" s="17"/>
      <c r="D339" s="17"/>
      <c r="E339" s="17"/>
      <c r="F339" s="17"/>
      <c r="G339" s="17"/>
      <c r="H339" s="17"/>
      <c r="I339" s="17"/>
      <c r="J339" s="17"/>
      <c r="K339" s="17"/>
      <c r="L339" s="17"/>
      <c r="M339" s="17"/>
      <c r="N339" s="17"/>
      <c r="O339" s="17"/>
      <c r="P339" s="17"/>
      <c r="Q339" s="17"/>
      <c r="R339" s="17"/>
      <c r="S339" s="17"/>
      <c r="T339" s="17"/>
      <c r="U339" s="17"/>
      <c r="V339" s="17"/>
      <c r="W339" s="17"/>
      <c r="X339" s="17"/>
      <c r="Y339" s="18"/>
    </row>
    <row r="340" spans="2:25" x14ac:dyDescent="0.3">
      <c r="B340" s="19"/>
      <c r="Y340" s="20"/>
    </row>
    <row r="341" spans="2:25" x14ac:dyDescent="0.3">
      <c r="B341" s="19"/>
      <c r="C341" s="141" t="s">
        <v>2905</v>
      </c>
      <c r="Y341" s="20"/>
    </row>
    <row r="342" spans="2:25" x14ac:dyDescent="0.3">
      <c r="B342" s="19"/>
      <c r="C342" s="141"/>
      <c r="Y342" s="20"/>
    </row>
    <row r="343" spans="2:25" x14ac:dyDescent="0.3">
      <c r="B343" s="19"/>
      <c r="C343" s="42" t="s">
        <v>121</v>
      </c>
      <c r="F343" s="118"/>
      <c r="L343" s="860" t="s">
        <v>418</v>
      </c>
      <c r="M343" s="860"/>
      <c r="Y343" s="20"/>
    </row>
    <row r="344" spans="2:25" x14ac:dyDescent="0.3">
      <c r="B344" s="19"/>
      <c r="D344" t="s">
        <v>590</v>
      </c>
      <c r="J344" s="118"/>
      <c r="L344" s="833"/>
      <c r="M344" s="834"/>
      <c r="O344" s="141" t="str">
        <f>IF(AND(L344&lt;&gt;"",OR(SUM(L344:M345)&gt;L349,L344&gt;L349)),"Attention : surfaces saisies &gt; SAU hors sol","")</f>
        <v/>
      </c>
      <c r="Y344" s="20"/>
    </row>
    <row r="345" spans="2:25" x14ac:dyDescent="0.3">
      <c r="B345" s="19"/>
      <c r="D345" t="s">
        <v>591</v>
      </c>
      <c r="L345" s="833"/>
      <c r="M345" s="834"/>
      <c r="O345" s="141" t="str">
        <f>IF(AND(L345&lt;&gt;"",OR(SUM(L344:M345)&gt;L349,L345&gt;L349)),"Attention : surfaces saisies &gt; SAU hors sol","")</f>
        <v/>
      </c>
      <c r="Y345" s="20"/>
    </row>
    <row r="346" spans="2:25" x14ac:dyDescent="0.3">
      <c r="B346" s="19"/>
      <c r="Y346" s="20"/>
    </row>
    <row r="347" spans="2:25" x14ac:dyDescent="0.3">
      <c r="B347" s="19"/>
      <c r="C347" s="42"/>
      <c r="Y347" s="20"/>
    </row>
    <row r="348" spans="2:25" x14ac:dyDescent="0.3">
      <c r="B348" s="19"/>
      <c r="N348" s="678"/>
      <c r="O348" s="678"/>
      <c r="Y348" s="20"/>
    </row>
    <row r="349" spans="2:25" x14ac:dyDescent="0.3">
      <c r="B349" s="19"/>
      <c r="D349" s="75" t="s">
        <v>2960</v>
      </c>
      <c r="E349" s="75"/>
      <c r="F349" s="75"/>
      <c r="G349" s="75"/>
      <c r="H349" s="75"/>
      <c r="I349" s="75"/>
      <c r="J349" s="75"/>
      <c r="K349" s="100"/>
      <c r="L349" s="840">
        <f>Surfaces!O137</f>
        <v>0</v>
      </c>
      <c r="M349" s="841"/>
      <c r="N349" s="678" t="s">
        <v>3204</v>
      </c>
      <c r="O349" s="678"/>
      <c r="Y349" s="20"/>
    </row>
    <row r="350" spans="2:25" x14ac:dyDescent="0.3">
      <c r="B350" s="19"/>
      <c r="D350" s="76" t="s">
        <v>2906</v>
      </c>
      <c r="E350" s="76"/>
      <c r="F350" s="76"/>
      <c r="G350" s="76"/>
      <c r="H350" s="76"/>
      <c r="I350" s="76"/>
      <c r="J350" s="76"/>
      <c r="K350" s="101"/>
      <c r="L350" s="837">
        <f>IFERROR(IF(L344="",0,L344/L349),0)</f>
        <v>0</v>
      </c>
      <c r="M350" s="838"/>
      <c r="N350" s="835">
        <f>IF(AND(L344="",L345=""),0,IF(L350&lt;0.25,0,IF(AND(L350&gt;=0.25,L350&lt;0.5),2,IF(AND(L350&gt;=0.5,L350&lt;0.75),4,IF(L350&gt;=0.75,6,0)))))</f>
        <v>0</v>
      </c>
      <c r="O350" s="836"/>
      <c r="Y350" s="20"/>
    </row>
    <row r="351" spans="2:25" x14ac:dyDescent="0.3">
      <c r="B351" s="19"/>
      <c r="D351" s="76" t="s">
        <v>2907</v>
      </c>
      <c r="E351" s="76"/>
      <c r="F351" s="76"/>
      <c r="G351" s="76"/>
      <c r="H351" s="76"/>
      <c r="I351" s="76"/>
      <c r="J351" s="76"/>
      <c r="K351" s="101"/>
      <c r="L351" s="837">
        <f>IFERROR(IF(L345="",0,L345/L349),0)</f>
        <v>0</v>
      </c>
      <c r="M351" s="838"/>
      <c r="N351" s="835">
        <f>IF(AND(L344="",L345=""),0,IF(L351&lt;0.25,0,IF(AND(L351&gt;=0.25,L351&lt;0.5),1,IF(AND(L351&gt;=0.5,L351&lt;0.75),2,IF(L351&gt;=0.75,3,0)))))</f>
        <v>0</v>
      </c>
      <c r="O351" s="836"/>
      <c r="Y351" s="20"/>
    </row>
    <row r="352" spans="2:25" x14ac:dyDescent="0.3">
      <c r="B352" s="19"/>
      <c r="V352" s="680" t="s">
        <v>3205</v>
      </c>
      <c r="W352" s="680"/>
      <c r="X352" s="680"/>
      <c r="Y352" s="681"/>
    </row>
    <row r="353" spans="2:25" x14ac:dyDescent="0.3">
      <c r="B353" s="19"/>
      <c r="D353" s="75" t="s">
        <v>417</v>
      </c>
      <c r="E353" s="40"/>
      <c r="F353" s="40"/>
      <c r="G353" s="40"/>
      <c r="H353" s="40"/>
      <c r="I353" s="40"/>
      <c r="J353" s="40"/>
      <c r="K353" s="40"/>
      <c r="L353" s="40"/>
      <c r="M353" s="45"/>
      <c r="N353" s="858">
        <f>IF(cSAU=0,0,(SUM(N350:N351)*(L349/Surfaces!O25)))</f>
        <v>0</v>
      </c>
      <c r="O353" s="859"/>
      <c r="P353" s="175"/>
      <c r="W353" s="780">
        <f>IF(cSAU=0,6,6*L349/Surfaces!O25)</f>
        <v>6</v>
      </c>
      <c r="X353" s="781"/>
      <c r="Y353" s="474"/>
    </row>
    <row r="354" spans="2:25" x14ac:dyDescent="0.3">
      <c r="B354" s="19"/>
      <c r="Y354" s="20"/>
    </row>
    <row r="355" spans="2:25" x14ac:dyDescent="0.3">
      <c r="B355" s="19"/>
      <c r="Y355" s="20"/>
    </row>
    <row r="356" spans="2:25" x14ac:dyDescent="0.3">
      <c r="B356" s="19"/>
      <c r="D356" s="70" t="s">
        <v>2472</v>
      </c>
      <c r="Y356" s="20"/>
    </row>
    <row r="357" spans="2:25" x14ac:dyDescent="0.3">
      <c r="B357" s="19"/>
      <c r="D357" s="652"/>
      <c r="E357" s="653"/>
      <c r="F357" s="653"/>
      <c r="G357" s="653"/>
      <c r="H357" s="653"/>
      <c r="I357" s="653"/>
      <c r="J357" s="653"/>
      <c r="K357" s="653"/>
      <c r="L357" s="653"/>
      <c r="M357" s="653"/>
      <c r="N357" s="653"/>
      <c r="O357" s="653"/>
      <c r="P357" s="653"/>
      <c r="Q357" s="653"/>
      <c r="R357" s="653"/>
      <c r="S357" s="653"/>
      <c r="T357" s="653"/>
      <c r="U357" s="653"/>
      <c r="V357" s="653"/>
      <c r="W357" s="653"/>
      <c r="X357" s="654"/>
      <c r="Y357" s="20"/>
    </row>
    <row r="358" spans="2:25" x14ac:dyDescent="0.3">
      <c r="B358" s="19"/>
      <c r="D358" s="655"/>
      <c r="E358" s="656"/>
      <c r="F358" s="656"/>
      <c r="G358" s="656"/>
      <c r="H358" s="656"/>
      <c r="I358" s="656"/>
      <c r="J358" s="656"/>
      <c r="K358" s="656"/>
      <c r="L358" s="656"/>
      <c r="M358" s="656"/>
      <c r="N358" s="656"/>
      <c r="O358" s="656"/>
      <c r="P358" s="656"/>
      <c r="Q358" s="656"/>
      <c r="R358" s="656"/>
      <c r="S358" s="656"/>
      <c r="T358" s="656"/>
      <c r="U358" s="656"/>
      <c r="V358" s="656"/>
      <c r="W358" s="656"/>
      <c r="X358" s="657"/>
      <c r="Y358" s="20"/>
    </row>
    <row r="359" spans="2:25" x14ac:dyDescent="0.3">
      <c r="B359" s="19"/>
      <c r="D359" s="655"/>
      <c r="E359" s="656"/>
      <c r="F359" s="656"/>
      <c r="G359" s="656"/>
      <c r="H359" s="656"/>
      <c r="I359" s="656"/>
      <c r="J359" s="656"/>
      <c r="K359" s="656"/>
      <c r="L359" s="656"/>
      <c r="M359" s="656"/>
      <c r="N359" s="656"/>
      <c r="O359" s="656"/>
      <c r="P359" s="656"/>
      <c r="Q359" s="656"/>
      <c r="R359" s="656"/>
      <c r="S359" s="656"/>
      <c r="T359" s="656"/>
      <c r="U359" s="656"/>
      <c r="V359" s="656"/>
      <c r="W359" s="656"/>
      <c r="X359" s="657"/>
      <c r="Y359" s="20"/>
    </row>
    <row r="360" spans="2:25" x14ac:dyDescent="0.3">
      <c r="B360" s="19"/>
      <c r="D360" s="655"/>
      <c r="E360" s="656"/>
      <c r="F360" s="656"/>
      <c r="G360" s="656"/>
      <c r="H360" s="656"/>
      <c r="I360" s="656"/>
      <c r="J360" s="656"/>
      <c r="K360" s="656"/>
      <c r="L360" s="656"/>
      <c r="M360" s="656"/>
      <c r="N360" s="656"/>
      <c r="O360" s="656"/>
      <c r="P360" s="656"/>
      <c r="Q360" s="656"/>
      <c r="R360" s="656"/>
      <c r="S360" s="656"/>
      <c r="T360" s="656"/>
      <c r="U360" s="656"/>
      <c r="V360" s="656"/>
      <c r="W360" s="656"/>
      <c r="X360" s="657"/>
      <c r="Y360" s="20"/>
    </row>
    <row r="361" spans="2:25" x14ac:dyDescent="0.3">
      <c r="B361" s="19"/>
      <c r="D361" s="658"/>
      <c r="E361" s="659"/>
      <c r="F361" s="659"/>
      <c r="G361" s="659"/>
      <c r="H361" s="659"/>
      <c r="I361" s="659"/>
      <c r="J361" s="659"/>
      <c r="K361" s="659"/>
      <c r="L361" s="659"/>
      <c r="M361" s="659"/>
      <c r="N361" s="659"/>
      <c r="O361" s="659"/>
      <c r="P361" s="659"/>
      <c r="Q361" s="659"/>
      <c r="R361" s="659"/>
      <c r="S361" s="659"/>
      <c r="T361" s="659"/>
      <c r="U361" s="659"/>
      <c r="V361" s="659"/>
      <c r="W361" s="659"/>
      <c r="X361" s="660"/>
      <c r="Y361" s="20"/>
    </row>
    <row r="362" spans="2:25" x14ac:dyDescent="0.3">
      <c r="B362" s="19"/>
      <c r="Y362" s="20"/>
    </row>
    <row r="363" spans="2:25" ht="15" thickBot="1" x14ac:dyDescent="0.35">
      <c r="B363" s="22"/>
      <c r="C363" s="23"/>
      <c r="D363" s="23"/>
      <c r="E363" s="23"/>
      <c r="F363" s="23"/>
      <c r="G363" s="23"/>
      <c r="H363" s="23"/>
      <c r="I363" s="23"/>
      <c r="J363" s="23"/>
      <c r="K363" s="23"/>
      <c r="L363" s="23"/>
      <c r="M363" s="23"/>
      <c r="N363" s="23"/>
      <c r="O363" s="23"/>
      <c r="P363" s="23"/>
      <c r="Q363" s="23"/>
      <c r="R363" s="23"/>
      <c r="S363" s="23"/>
      <c r="T363" s="23"/>
      <c r="U363" s="23"/>
      <c r="V363" s="23"/>
      <c r="W363" s="23"/>
      <c r="X363" s="23"/>
      <c r="Y363" s="24"/>
    </row>
    <row r="366" spans="2:25" ht="15" thickBot="1" x14ac:dyDescent="0.35"/>
    <row r="367" spans="2:25" x14ac:dyDescent="0.3">
      <c r="B367" s="8"/>
      <c r="C367" s="9"/>
      <c r="D367" s="9"/>
      <c r="E367" s="9"/>
      <c r="F367" s="9"/>
      <c r="G367" s="9"/>
      <c r="H367" s="9"/>
      <c r="I367" s="9"/>
      <c r="J367" s="9"/>
      <c r="K367" s="9"/>
      <c r="L367" s="9"/>
      <c r="M367" s="9"/>
      <c r="N367" s="9"/>
      <c r="O367" s="9"/>
      <c r="P367" s="9"/>
      <c r="Q367" s="9"/>
      <c r="R367" s="9"/>
      <c r="S367" s="9"/>
      <c r="T367" s="9"/>
      <c r="U367" s="9"/>
      <c r="V367" s="9"/>
      <c r="W367" s="9"/>
      <c r="X367" s="9"/>
      <c r="Y367" s="10"/>
    </row>
    <row r="368" spans="2:25" x14ac:dyDescent="0.3">
      <c r="B368" s="11"/>
      <c r="Y368" s="12"/>
    </row>
    <row r="369" spans="2:25" x14ac:dyDescent="0.3">
      <c r="B369" s="11"/>
      <c r="R369" s="678" t="s">
        <v>3204</v>
      </c>
      <c r="S369" s="678"/>
      <c r="V369" s="680" t="s">
        <v>3205</v>
      </c>
      <c r="W369" s="680"/>
      <c r="X369" s="680"/>
      <c r="Y369" s="681"/>
    </row>
    <row r="370" spans="2:25" x14ac:dyDescent="0.3">
      <c r="B370" s="11"/>
      <c r="C370" s="75" t="s">
        <v>2304</v>
      </c>
      <c r="D370" s="40"/>
      <c r="E370" s="40"/>
      <c r="F370" s="40"/>
      <c r="G370" s="40"/>
      <c r="H370" s="40"/>
      <c r="I370" s="40"/>
      <c r="J370" s="40"/>
      <c r="K370" s="40"/>
      <c r="L370" s="40"/>
      <c r="M370" s="40"/>
      <c r="N370" s="40"/>
      <c r="O370" s="40"/>
      <c r="P370" s="40"/>
      <c r="Q370" s="45"/>
      <c r="R370" s="696">
        <f>P64+S100+P122+P191+L215+P243+Q300+Q325+N353</f>
        <v>0</v>
      </c>
      <c r="S370" s="697"/>
      <c r="W370" s="694">
        <f>W64+W100+W122+W191+W215+W243+W300+W325+W353</f>
        <v>53</v>
      </c>
      <c r="X370" s="695"/>
      <c r="Y370" s="12"/>
    </row>
    <row r="371" spans="2:25" x14ac:dyDescent="0.3">
      <c r="B371" s="11"/>
      <c r="Y371" s="12"/>
    </row>
    <row r="372" spans="2:25" x14ac:dyDescent="0.3">
      <c r="B372" s="11"/>
      <c r="Y372" s="12"/>
    </row>
    <row r="373" spans="2:25" x14ac:dyDescent="0.3">
      <c r="B373" s="11"/>
      <c r="C373" s="70" t="s">
        <v>2472</v>
      </c>
      <c r="Y373" s="12"/>
    </row>
    <row r="374" spans="2:25" x14ac:dyDescent="0.3">
      <c r="B374" s="11"/>
      <c r="C374" s="652"/>
      <c r="D374" s="653"/>
      <c r="E374" s="653"/>
      <c r="F374" s="653"/>
      <c r="G374" s="653"/>
      <c r="H374" s="653"/>
      <c r="I374" s="653"/>
      <c r="J374" s="653"/>
      <c r="K374" s="653"/>
      <c r="L374" s="653"/>
      <c r="M374" s="653"/>
      <c r="N374" s="653"/>
      <c r="O374" s="653"/>
      <c r="P374" s="653"/>
      <c r="Q374" s="653"/>
      <c r="R374" s="653"/>
      <c r="S374" s="653"/>
      <c r="T374" s="653"/>
      <c r="U374" s="653"/>
      <c r="V374" s="653"/>
      <c r="W374" s="654"/>
      <c r="Y374" s="12"/>
    </row>
    <row r="375" spans="2:25" x14ac:dyDescent="0.3">
      <c r="B375" s="11"/>
      <c r="C375" s="655"/>
      <c r="D375" s="656"/>
      <c r="E375" s="656"/>
      <c r="F375" s="656"/>
      <c r="G375" s="656"/>
      <c r="H375" s="656"/>
      <c r="I375" s="656"/>
      <c r="J375" s="656"/>
      <c r="K375" s="656"/>
      <c r="L375" s="656"/>
      <c r="M375" s="656"/>
      <c r="N375" s="656"/>
      <c r="O375" s="656"/>
      <c r="P375" s="656"/>
      <c r="Q375" s="656"/>
      <c r="R375" s="656"/>
      <c r="S375" s="656"/>
      <c r="T375" s="656"/>
      <c r="U375" s="656"/>
      <c r="V375" s="656"/>
      <c r="W375" s="657"/>
      <c r="Y375" s="12"/>
    </row>
    <row r="376" spans="2:25" x14ac:dyDescent="0.3">
      <c r="B376" s="11"/>
      <c r="C376" s="655"/>
      <c r="D376" s="656"/>
      <c r="E376" s="656"/>
      <c r="F376" s="656"/>
      <c r="G376" s="656"/>
      <c r="H376" s="656"/>
      <c r="I376" s="656"/>
      <c r="J376" s="656"/>
      <c r="K376" s="656"/>
      <c r="L376" s="656"/>
      <c r="M376" s="656"/>
      <c r="N376" s="656"/>
      <c r="O376" s="656"/>
      <c r="P376" s="656"/>
      <c r="Q376" s="656"/>
      <c r="R376" s="656"/>
      <c r="S376" s="656"/>
      <c r="T376" s="656"/>
      <c r="U376" s="656"/>
      <c r="V376" s="656"/>
      <c r="W376" s="657"/>
      <c r="Y376" s="12"/>
    </row>
    <row r="377" spans="2:25" x14ac:dyDescent="0.3">
      <c r="B377" s="11"/>
      <c r="C377" s="655"/>
      <c r="D377" s="656"/>
      <c r="E377" s="656"/>
      <c r="F377" s="656"/>
      <c r="G377" s="656"/>
      <c r="H377" s="656"/>
      <c r="I377" s="656"/>
      <c r="J377" s="656"/>
      <c r="K377" s="656"/>
      <c r="L377" s="656"/>
      <c r="M377" s="656"/>
      <c r="N377" s="656"/>
      <c r="O377" s="656"/>
      <c r="P377" s="656"/>
      <c r="Q377" s="656"/>
      <c r="R377" s="656"/>
      <c r="S377" s="656"/>
      <c r="T377" s="656"/>
      <c r="U377" s="656"/>
      <c r="V377" s="656"/>
      <c r="W377" s="657"/>
      <c r="Y377" s="12"/>
    </row>
    <row r="378" spans="2:25" x14ac:dyDescent="0.3">
      <c r="B378" s="11"/>
      <c r="C378" s="655"/>
      <c r="D378" s="656"/>
      <c r="E378" s="656"/>
      <c r="F378" s="656"/>
      <c r="G378" s="656"/>
      <c r="H378" s="656"/>
      <c r="I378" s="656"/>
      <c r="J378" s="656"/>
      <c r="K378" s="656"/>
      <c r="L378" s="656"/>
      <c r="M378" s="656"/>
      <c r="N378" s="656"/>
      <c r="O378" s="656"/>
      <c r="P378" s="656"/>
      <c r="Q378" s="656"/>
      <c r="R378" s="656"/>
      <c r="S378" s="656"/>
      <c r="T378" s="656"/>
      <c r="U378" s="656"/>
      <c r="V378" s="656"/>
      <c r="W378" s="657"/>
      <c r="Y378" s="12"/>
    </row>
    <row r="379" spans="2:25" x14ac:dyDescent="0.3">
      <c r="B379" s="11"/>
      <c r="C379" s="655"/>
      <c r="D379" s="656"/>
      <c r="E379" s="656"/>
      <c r="F379" s="656"/>
      <c r="G379" s="656"/>
      <c r="H379" s="656"/>
      <c r="I379" s="656"/>
      <c r="J379" s="656"/>
      <c r="K379" s="656"/>
      <c r="L379" s="656"/>
      <c r="M379" s="656"/>
      <c r="N379" s="656"/>
      <c r="O379" s="656"/>
      <c r="P379" s="656"/>
      <c r="Q379" s="656"/>
      <c r="R379" s="656"/>
      <c r="S379" s="656"/>
      <c r="T379" s="656"/>
      <c r="U379" s="656"/>
      <c r="V379" s="656"/>
      <c r="W379" s="657"/>
      <c r="Y379" s="12"/>
    </row>
    <row r="380" spans="2:25" x14ac:dyDescent="0.3">
      <c r="B380" s="11"/>
      <c r="C380" s="655"/>
      <c r="D380" s="656"/>
      <c r="E380" s="656"/>
      <c r="F380" s="656"/>
      <c r="G380" s="656"/>
      <c r="H380" s="656"/>
      <c r="I380" s="656"/>
      <c r="J380" s="656"/>
      <c r="K380" s="656"/>
      <c r="L380" s="656"/>
      <c r="M380" s="656"/>
      <c r="N380" s="656"/>
      <c r="O380" s="656"/>
      <c r="P380" s="656"/>
      <c r="Q380" s="656"/>
      <c r="R380" s="656"/>
      <c r="S380" s="656"/>
      <c r="T380" s="656"/>
      <c r="U380" s="656"/>
      <c r="V380" s="656"/>
      <c r="W380" s="657"/>
      <c r="Y380" s="12"/>
    </row>
    <row r="381" spans="2:25" x14ac:dyDescent="0.3">
      <c r="B381" s="11"/>
      <c r="C381" s="655"/>
      <c r="D381" s="656"/>
      <c r="E381" s="656"/>
      <c r="F381" s="656"/>
      <c r="G381" s="656"/>
      <c r="H381" s="656"/>
      <c r="I381" s="656"/>
      <c r="J381" s="656"/>
      <c r="K381" s="656"/>
      <c r="L381" s="656"/>
      <c r="M381" s="656"/>
      <c r="N381" s="656"/>
      <c r="O381" s="656"/>
      <c r="P381" s="656"/>
      <c r="Q381" s="656"/>
      <c r="R381" s="656"/>
      <c r="S381" s="656"/>
      <c r="T381" s="656"/>
      <c r="U381" s="656"/>
      <c r="V381" s="656"/>
      <c r="W381" s="657"/>
      <c r="Y381" s="12"/>
    </row>
    <row r="382" spans="2:25" x14ac:dyDescent="0.3">
      <c r="B382" s="11"/>
      <c r="C382" s="655"/>
      <c r="D382" s="656"/>
      <c r="E382" s="656"/>
      <c r="F382" s="656"/>
      <c r="G382" s="656"/>
      <c r="H382" s="656"/>
      <c r="I382" s="656"/>
      <c r="J382" s="656"/>
      <c r="K382" s="656"/>
      <c r="L382" s="656"/>
      <c r="M382" s="656"/>
      <c r="N382" s="656"/>
      <c r="O382" s="656"/>
      <c r="P382" s="656"/>
      <c r="Q382" s="656"/>
      <c r="R382" s="656"/>
      <c r="S382" s="656"/>
      <c r="T382" s="656"/>
      <c r="U382" s="656"/>
      <c r="V382" s="656"/>
      <c r="W382" s="657"/>
      <c r="Y382" s="12"/>
    </row>
    <row r="383" spans="2:25" x14ac:dyDescent="0.3">
      <c r="B383" s="11"/>
      <c r="C383" s="658"/>
      <c r="D383" s="659"/>
      <c r="E383" s="659"/>
      <c r="F383" s="659"/>
      <c r="G383" s="659"/>
      <c r="H383" s="659"/>
      <c r="I383" s="659"/>
      <c r="J383" s="659"/>
      <c r="K383" s="659"/>
      <c r="L383" s="659"/>
      <c r="M383" s="659"/>
      <c r="N383" s="659"/>
      <c r="O383" s="659"/>
      <c r="P383" s="659"/>
      <c r="Q383" s="659"/>
      <c r="R383" s="659"/>
      <c r="S383" s="659"/>
      <c r="T383" s="659"/>
      <c r="U383" s="659"/>
      <c r="V383" s="659"/>
      <c r="W383" s="660"/>
      <c r="Y383" s="12"/>
    </row>
    <row r="384" spans="2:25" x14ac:dyDescent="0.3">
      <c r="B384" s="11"/>
      <c r="Y384" s="12"/>
    </row>
    <row r="385" spans="2:25" ht="15" thickBot="1" x14ac:dyDescent="0.35">
      <c r="B385" s="13"/>
      <c r="C385" s="14"/>
      <c r="D385" s="14"/>
      <c r="E385" s="14"/>
      <c r="F385" s="14"/>
      <c r="G385" s="14"/>
      <c r="H385" s="14"/>
      <c r="I385" s="14"/>
      <c r="J385" s="14"/>
      <c r="K385" s="14"/>
      <c r="L385" s="14"/>
      <c r="M385" s="14"/>
      <c r="N385" s="14"/>
      <c r="O385" s="14"/>
      <c r="P385" s="14"/>
      <c r="Q385" s="14"/>
      <c r="R385" s="14"/>
      <c r="S385" s="14"/>
      <c r="T385" s="14"/>
      <c r="U385" s="14"/>
      <c r="V385" s="14"/>
      <c r="W385" s="14"/>
      <c r="X385" s="14"/>
      <c r="Y385" s="15"/>
    </row>
  </sheetData>
  <sheetProtection algorithmName="SHA-512" hashValue="i3ORuvw0QEWkcMJxvwal1Wxf1UTiZRLD4uX453fpPW45flcI+zZNpkFwVt6kTG0hBNZyVxV8SdzyPCHDt9f+1Q==" saltValue="sPH1hYyJeuFGy6Lt2cjYjQ==" spinCount="100000" sheet="1" objects="1" scenarios="1"/>
  <mergeCells count="279">
    <mergeCell ref="O323:P323"/>
    <mergeCell ref="Q320:R320"/>
    <mergeCell ref="Q286:R286"/>
    <mergeCell ref="N190:O190"/>
    <mergeCell ref="O262:P262"/>
    <mergeCell ref="O268:T268"/>
    <mergeCell ref="O269:P269"/>
    <mergeCell ref="C272:N272"/>
    <mergeCell ref="O272:P272"/>
    <mergeCell ref="O265:T265"/>
    <mergeCell ref="N237:O237"/>
    <mergeCell ref="C276:N276"/>
    <mergeCell ref="O276:P276"/>
    <mergeCell ref="C277:N277"/>
    <mergeCell ref="O277:P277"/>
    <mergeCell ref="Q281:R281"/>
    <mergeCell ref="O293:P293"/>
    <mergeCell ref="Q293:R293"/>
    <mergeCell ref="O292:P292"/>
    <mergeCell ref="Q292:R292"/>
    <mergeCell ref="C195:W199"/>
    <mergeCell ref="C273:N273"/>
    <mergeCell ref="N238:O238"/>
    <mergeCell ref="N243:O243"/>
    <mergeCell ref="Q325:R325"/>
    <mergeCell ref="O266:P266"/>
    <mergeCell ref="O291:P291"/>
    <mergeCell ref="Q291:R291"/>
    <mergeCell ref="Q324:R324"/>
    <mergeCell ref="O282:P282"/>
    <mergeCell ref="O283:P283"/>
    <mergeCell ref="O298:P298"/>
    <mergeCell ref="O299:P299"/>
    <mergeCell ref="Q299:R299"/>
    <mergeCell ref="Q298:R298"/>
    <mergeCell ref="Q289:R289"/>
    <mergeCell ref="O273:P273"/>
    <mergeCell ref="Q300:R300"/>
    <mergeCell ref="O289:P289"/>
    <mergeCell ref="O281:P281"/>
    <mergeCell ref="O288:P288"/>
    <mergeCell ref="O290:P290"/>
    <mergeCell ref="Q290:R290"/>
    <mergeCell ref="O296:P296"/>
    <mergeCell ref="O317:P317"/>
    <mergeCell ref="O278:P278"/>
    <mergeCell ref="O318:P318"/>
    <mergeCell ref="O322:P322"/>
    <mergeCell ref="P243:Q243"/>
    <mergeCell ref="D247:X251"/>
    <mergeCell ref="W215:X215"/>
    <mergeCell ref="N236:O236"/>
    <mergeCell ref="W243:X243"/>
    <mergeCell ref="D219:X223"/>
    <mergeCell ref="P237:Q237"/>
    <mergeCell ref="N241:O241"/>
    <mergeCell ref="P241:Q241"/>
    <mergeCell ref="C374:W383"/>
    <mergeCell ref="O295:P295"/>
    <mergeCell ref="O297:P297"/>
    <mergeCell ref="Q295:R295"/>
    <mergeCell ref="Q297:R297"/>
    <mergeCell ref="D304:X308"/>
    <mergeCell ref="D329:X333"/>
    <mergeCell ref="R370:S370"/>
    <mergeCell ref="W370:X370"/>
    <mergeCell ref="L350:M350"/>
    <mergeCell ref="L349:M349"/>
    <mergeCell ref="L344:M344"/>
    <mergeCell ref="L345:M345"/>
    <mergeCell ref="W300:X300"/>
    <mergeCell ref="L343:M343"/>
    <mergeCell ref="N348:O348"/>
    <mergeCell ref="L351:M351"/>
    <mergeCell ref="N351:O351"/>
    <mergeCell ref="N353:O353"/>
    <mergeCell ref="W353:X353"/>
    <mergeCell ref="D357:X361"/>
    <mergeCell ref="W325:X325"/>
    <mergeCell ref="N350:O350"/>
    <mergeCell ref="Q296:R296"/>
    <mergeCell ref="S15:T15"/>
    <mergeCell ref="S12:T12"/>
    <mergeCell ref="V31:W31"/>
    <mergeCell ref="P41:Q41"/>
    <mergeCell ref="P40:Q40"/>
    <mergeCell ref="P32:Q32"/>
    <mergeCell ref="V25:W25"/>
    <mergeCell ref="P12:Q12"/>
    <mergeCell ref="P14:Q14"/>
    <mergeCell ref="P25:Q25"/>
    <mergeCell ref="V30:W30"/>
    <mergeCell ref="P31:Q31"/>
    <mergeCell ref="S31:T31"/>
    <mergeCell ref="P39:Q39"/>
    <mergeCell ref="S39:T39"/>
    <mergeCell ref="V39:W39"/>
    <mergeCell ref="P19:Q19"/>
    <mergeCell ref="P35:Q35"/>
    <mergeCell ref="S35:T35"/>
    <mergeCell ref="V35:W35"/>
    <mergeCell ref="V41:W41"/>
    <mergeCell ref="S34:T34"/>
    <mergeCell ref="V40:W40"/>
    <mergeCell ref="S41:T41"/>
    <mergeCell ref="P18:Q18"/>
    <mergeCell ref="S18:T18"/>
    <mergeCell ref="V18:W18"/>
    <mergeCell ref="N121:O121"/>
    <mergeCell ref="N122:O122"/>
    <mergeCell ref="P44:Q44"/>
    <mergeCell ref="S87:T87"/>
    <mergeCell ref="S23:T23"/>
    <mergeCell ref="V23:W23"/>
    <mergeCell ref="S19:T19"/>
    <mergeCell ref="W89:X89"/>
    <mergeCell ref="P42:Q42"/>
    <mergeCell ref="S42:T42"/>
    <mergeCell ref="V42:W42"/>
    <mergeCell ref="P36:Q36"/>
    <mergeCell ref="S36:T36"/>
    <mergeCell ref="V36:W36"/>
    <mergeCell ref="W86:X86"/>
    <mergeCell ref="P54:Q54"/>
    <mergeCell ref="P55:Q55"/>
    <mergeCell ref="P20:Q20"/>
    <mergeCell ref="M51:N51"/>
    <mergeCell ref="M52:Q52"/>
    <mergeCell ref="S40:T40"/>
    <mergeCell ref="Y4:Z4"/>
    <mergeCell ref="N242:O242"/>
    <mergeCell ref="P242:Q242"/>
    <mergeCell ref="N240:O240"/>
    <mergeCell ref="P240:Q240"/>
    <mergeCell ref="J207:K207"/>
    <mergeCell ref="J208:K208"/>
    <mergeCell ref="J213:K213"/>
    <mergeCell ref="J214:K214"/>
    <mergeCell ref="J215:K215"/>
    <mergeCell ref="L211:M211"/>
    <mergeCell ref="L213:M213"/>
    <mergeCell ref="L214:M214"/>
    <mergeCell ref="L215:M215"/>
    <mergeCell ref="P231:Q231"/>
    <mergeCell ref="V11:W11"/>
    <mergeCell ref="S11:T11"/>
    <mergeCell ref="S25:T25"/>
    <mergeCell ref="P15:Q15"/>
    <mergeCell ref="P23:Q23"/>
    <mergeCell ref="P13:Q13"/>
    <mergeCell ref="U87:V87"/>
    <mergeCell ref="U86:V86"/>
    <mergeCell ref="Q87:R87"/>
    <mergeCell ref="V12:W12"/>
    <mergeCell ref="V14:W14"/>
    <mergeCell ref="V19:W19"/>
    <mergeCell ref="P119:Q119"/>
    <mergeCell ref="P11:Q11"/>
    <mergeCell ref="P10:W10"/>
    <mergeCell ref="V32:W32"/>
    <mergeCell ref="S32:T32"/>
    <mergeCell ref="S14:T14"/>
    <mergeCell ref="V15:W15"/>
    <mergeCell ref="S99:T99"/>
    <mergeCell ref="S97:T97"/>
    <mergeCell ref="S100:T100"/>
    <mergeCell ref="D68:X77"/>
    <mergeCell ref="U88:V88"/>
    <mergeCell ref="P46:Q46"/>
    <mergeCell ref="S46:T46"/>
    <mergeCell ref="V46:W46"/>
    <mergeCell ref="W88:X88"/>
    <mergeCell ref="S44:T44"/>
    <mergeCell ref="V44:W44"/>
    <mergeCell ref="S13:T13"/>
    <mergeCell ref="V13:W13"/>
    <mergeCell ref="P33:Q33"/>
    <mergeCell ref="P64:Q64"/>
    <mergeCell ref="V34:W34"/>
    <mergeCell ref="W64:X64"/>
    <mergeCell ref="W100:X100"/>
    <mergeCell ref="W122:X122"/>
    <mergeCell ref="W87:X87"/>
    <mergeCell ref="C104:W108"/>
    <mergeCell ref="U89:V89"/>
    <mergeCell ref="Q88:R88"/>
    <mergeCell ref="M54:N54"/>
    <mergeCell ref="M58:N58"/>
    <mergeCell ref="M59:N59"/>
    <mergeCell ref="M60:N60"/>
    <mergeCell ref="M62:N62"/>
    <mergeCell ref="M55:N55"/>
    <mergeCell ref="M57:N57"/>
    <mergeCell ref="Q98:R98"/>
    <mergeCell ref="Q89:R89"/>
    <mergeCell ref="Q93:R93"/>
    <mergeCell ref="Q94:R94"/>
    <mergeCell ref="Q95:R95"/>
    <mergeCell ref="Q96:R96"/>
    <mergeCell ref="S89:T89"/>
    <mergeCell ref="Q86:R86"/>
    <mergeCell ref="S20:T20"/>
    <mergeCell ref="V20:W20"/>
    <mergeCell ref="P21:Q21"/>
    <mergeCell ref="S21:T21"/>
    <mergeCell ref="V21:W21"/>
    <mergeCell ref="P29:W29"/>
    <mergeCell ref="P30:Q30"/>
    <mergeCell ref="S30:T30"/>
    <mergeCell ref="P34:Q34"/>
    <mergeCell ref="S33:T33"/>
    <mergeCell ref="V33:W33"/>
    <mergeCell ref="S86:T86"/>
    <mergeCell ref="L140:M140"/>
    <mergeCell ref="L141:M141"/>
    <mergeCell ref="N159:O159"/>
    <mergeCell ref="N160:O160"/>
    <mergeCell ref="K139:N139"/>
    <mergeCell ref="K150:N150"/>
    <mergeCell ref="N117:O117"/>
    <mergeCell ref="N235:O235"/>
    <mergeCell ref="N234:O234"/>
    <mergeCell ref="N233:O233"/>
    <mergeCell ref="N185:O185"/>
    <mergeCell ref="N176:O176"/>
    <mergeCell ref="C126:W130"/>
    <mergeCell ref="N161:O161"/>
    <mergeCell ref="N163:O163"/>
    <mergeCell ref="N162:O162"/>
    <mergeCell ref="L148:M148"/>
    <mergeCell ref="L151:M151"/>
    <mergeCell ref="L152:M152"/>
    <mergeCell ref="P170:Q170"/>
    <mergeCell ref="P171:Q171"/>
    <mergeCell ref="L142:M142"/>
    <mergeCell ref="P122:Q122"/>
    <mergeCell ref="Q99:R99"/>
    <mergeCell ref="W191:X191"/>
    <mergeCell ref="L147:M147"/>
    <mergeCell ref="L146:M146"/>
    <mergeCell ref="P156:Q156"/>
    <mergeCell ref="L143:M143"/>
    <mergeCell ref="P168:Q168"/>
    <mergeCell ref="P169:Q169"/>
    <mergeCell ref="N170:O170"/>
    <mergeCell ref="N171:O171"/>
    <mergeCell ref="P181:Q181"/>
    <mergeCell ref="N168:O168"/>
    <mergeCell ref="N169:O169"/>
    <mergeCell ref="P176:Q176"/>
    <mergeCell ref="N177:O177"/>
    <mergeCell ref="P177:Q177"/>
    <mergeCell ref="P173:Q173"/>
    <mergeCell ref="P179:Q179"/>
    <mergeCell ref="P191:Q191"/>
    <mergeCell ref="O280:P280"/>
    <mergeCell ref="V369:Y369"/>
    <mergeCell ref="P121:Q121"/>
    <mergeCell ref="P167:Q167"/>
    <mergeCell ref="Q288:R288"/>
    <mergeCell ref="Q323:R323"/>
    <mergeCell ref="N349:O349"/>
    <mergeCell ref="R369:S369"/>
    <mergeCell ref="V63:Y63"/>
    <mergeCell ref="V99:Y99"/>
    <mergeCell ref="V121:Y121"/>
    <mergeCell ref="V190:Y190"/>
    <mergeCell ref="V214:Y214"/>
    <mergeCell ref="V242:Y242"/>
    <mergeCell ref="V299:Y299"/>
    <mergeCell ref="V324:Y324"/>
    <mergeCell ref="V352:Y352"/>
    <mergeCell ref="O274:P274"/>
    <mergeCell ref="P185:Q185"/>
    <mergeCell ref="P187:Q187"/>
    <mergeCell ref="N184:O184"/>
    <mergeCell ref="P184:Q184"/>
    <mergeCell ref="N116:O116"/>
    <mergeCell ref="S88:T88"/>
  </mergeCells>
  <conditionalFormatting sqref="M208:P208">
    <cfRule type="expression" dxfId="34" priority="11">
      <formula>$M$208&lt;&gt;""</formula>
    </cfRule>
  </conditionalFormatting>
  <conditionalFormatting sqref="O143:R143">
    <cfRule type="expression" dxfId="33" priority="17">
      <formula>$O$143&lt;&gt;""</formula>
    </cfRule>
  </conditionalFormatting>
  <conditionalFormatting sqref="O344:S344">
    <cfRule type="expression" dxfId="32" priority="2">
      <formula>$O$347&lt;&gt;""</formula>
    </cfRule>
  </conditionalFormatting>
  <conditionalFormatting sqref="O345:S345">
    <cfRule type="expression" dxfId="31" priority="1">
      <formula>$O$348&lt;&gt;""</formula>
    </cfRule>
  </conditionalFormatting>
  <conditionalFormatting sqref="O151:T151">
    <cfRule type="expression" dxfId="30" priority="13">
      <formula>$O$151&lt;&gt;""</formula>
    </cfRule>
  </conditionalFormatting>
  <conditionalFormatting sqref="O152:T152">
    <cfRule type="expression" dxfId="29" priority="12">
      <formula>$O$152&lt;&gt;""</formula>
    </cfRule>
  </conditionalFormatting>
  <conditionalFormatting sqref="O140:U140">
    <cfRule type="expression" dxfId="28" priority="20">
      <formula>$O$140&lt;&gt;""</formula>
    </cfRule>
  </conditionalFormatting>
  <conditionalFormatting sqref="O141:U141">
    <cfRule type="expression" dxfId="27" priority="19">
      <formula>$O$141&lt;&gt;""</formula>
    </cfRule>
  </conditionalFormatting>
  <conditionalFormatting sqref="O142:U142">
    <cfRule type="expression" dxfId="26" priority="18">
      <formula>$O$142&lt;&gt;""</formula>
    </cfRule>
  </conditionalFormatting>
  <conditionalFormatting sqref="O146:V146">
    <cfRule type="expression" dxfId="25" priority="16">
      <formula>$O$146&lt;&gt;""</formula>
    </cfRule>
  </conditionalFormatting>
  <conditionalFormatting sqref="O147:V147">
    <cfRule type="expression" dxfId="24" priority="15">
      <formula>$O$147&lt;&gt;""</formula>
    </cfRule>
  </conditionalFormatting>
  <conditionalFormatting sqref="O148:V148">
    <cfRule type="expression" dxfId="23" priority="14">
      <formula>$O$148&lt;&gt;""</formula>
    </cfRule>
  </conditionalFormatting>
  <conditionalFormatting sqref="P58:U58">
    <cfRule type="expression" dxfId="22" priority="4">
      <formula>$P$58&lt;&gt;""</formula>
    </cfRule>
  </conditionalFormatting>
  <conditionalFormatting sqref="Q161:W161">
    <cfRule type="expression" dxfId="21" priority="7">
      <formula>$Q$161&lt;&gt;""</formula>
    </cfRule>
  </conditionalFormatting>
  <conditionalFormatting sqref="Q162:W162">
    <cfRule type="expression" dxfId="20" priority="6">
      <formula>$Q$162&lt;&gt;""</formula>
    </cfRule>
  </conditionalFormatting>
  <conditionalFormatting sqref="Q163:W163">
    <cfRule type="expression" dxfId="19" priority="5">
      <formula>$Q$163&lt;&gt;""</formula>
    </cfRule>
  </conditionalFormatting>
  <conditionalFormatting sqref="R273:V273">
    <cfRule type="expression" dxfId="18" priority="10">
      <formula>$R$273&lt;&gt;""</formula>
    </cfRule>
  </conditionalFormatting>
  <conditionalFormatting sqref="R277:V277">
    <cfRule type="expression" dxfId="17" priority="3">
      <formula>$R$277&lt;&gt;""</formula>
    </cfRule>
  </conditionalFormatting>
  <conditionalFormatting sqref="R318:V318">
    <cfRule type="expression" dxfId="16" priority="9">
      <formula>$R$318&lt;&gt;""</formula>
    </cfRule>
  </conditionalFormatting>
  <dataValidations count="4">
    <dataValidation type="list" allowBlank="1" showInputMessage="1" showErrorMessage="1" sqref="M52:Q52" xr:uid="{00000000-0002-0000-0700-000000000000}">
      <formula1>lstCalculBilan</formula1>
    </dataValidation>
    <dataValidation type="list" allowBlank="1" showInputMessage="1" showErrorMessage="1" sqref="M54:N54" xr:uid="{00000000-0002-0000-0700-000001000000}">
      <formula1>"1,2,3"</formula1>
    </dataValidation>
    <dataValidation type="list" allowBlank="1" showInputMessage="1" showErrorMessage="1" sqref="M57:N57 O266:P266 O269:P269" xr:uid="{00000000-0002-0000-0700-000002000000}">
      <formula1>"Oui,Non"</formula1>
    </dataValidation>
    <dataValidation type="custom" allowBlank="1" showInputMessage="1" showErrorMessage="1" sqref="L344:M344" xr:uid="{00000000-0002-0000-0700-000003000000}">
      <formula1>ISNUMBER(L344)</formula1>
    </dataValidation>
  </dataValidations>
  <pageMargins left="0.7" right="0.7" top="0.75" bottom="0.75" header="0.3" footer="0.3"/>
  <pageSetup paperSize="9" scale="55"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0070C0"/>
    <pageSetUpPr fitToPage="1"/>
  </sheetPr>
  <dimension ref="A1:AC274"/>
  <sheetViews>
    <sheetView showGridLines="0" zoomScaleNormal="100" workbookViewId="0">
      <pane ySplit="5" topLeftCell="A6" activePane="bottomLeft" state="frozen"/>
      <selection activeCell="AA19" sqref="AA19"/>
      <selection pane="bottomLeft" activeCell="P26" sqref="P26"/>
    </sheetView>
  </sheetViews>
  <sheetFormatPr baseColWidth="10" defaultColWidth="9.109375" defaultRowHeight="14.4" x14ac:dyDescent="0.3"/>
  <cols>
    <col min="29" max="29" width="9.109375" hidden="1" customWidth="1"/>
  </cols>
  <sheetData>
    <row r="1" spans="1:26" x14ac:dyDescent="0.3">
      <c r="A1" s="26"/>
      <c r="B1" s="26"/>
      <c r="C1" s="26"/>
      <c r="D1" s="26"/>
      <c r="E1" s="26"/>
      <c r="F1" s="26"/>
      <c r="G1" s="26"/>
      <c r="H1" s="26"/>
      <c r="I1" s="26"/>
      <c r="J1" s="26"/>
      <c r="K1" s="72"/>
      <c r="L1" s="72"/>
      <c r="M1" s="72"/>
      <c r="N1" s="72"/>
      <c r="O1" s="26"/>
      <c r="P1" s="26"/>
      <c r="Q1" s="26"/>
      <c r="R1" s="26"/>
      <c r="S1" s="74" t="s">
        <v>701</v>
      </c>
      <c r="T1" s="26"/>
      <c r="U1" s="26"/>
      <c r="V1" s="26"/>
      <c r="W1" s="26"/>
      <c r="X1" s="26"/>
      <c r="Y1" s="26"/>
      <c r="Z1" s="26"/>
    </row>
    <row r="2" spans="1:26" x14ac:dyDescent="0.3">
      <c r="A2" s="26"/>
      <c r="B2" s="26"/>
      <c r="C2" s="26"/>
      <c r="D2" s="26"/>
      <c r="E2" s="26"/>
      <c r="F2" s="26"/>
      <c r="G2" s="26"/>
      <c r="H2" s="26"/>
      <c r="I2" s="26"/>
      <c r="J2" s="26"/>
      <c r="K2" s="72"/>
      <c r="L2" s="72"/>
      <c r="M2" s="72"/>
      <c r="N2" s="72"/>
      <c r="O2" s="26"/>
      <c r="P2" s="26"/>
      <c r="Q2" s="26"/>
      <c r="R2" s="26"/>
      <c r="S2" s="74" t="s">
        <v>702</v>
      </c>
      <c r="T2" s="26"/>
      <c r="U2" s="26"/>
      <c r="V2" s="26"/>
      <c r="W2" s="26"/>
      <c r="X2" s="26"/>
      <c r="Y2" s="26"/>
      <c r="Z2" s="26"/>
    </row>
    <row r="3" spans="1:26" x14ac:dyDescent="0.3">
      <c r="A3" s="26"/>
      <c r="B3" s="26"/>
      <c r="C3" s="26"/>
      <c r="D3" s="26"/>
      <c r="E3" s="26"/>
      <c r="F3" s="26"/>
      <c r="G3" s="26"/>
      <c r="H3" s="26"/>
      <c r="I3" s="26"/>
      <c r="J3" s="26"/>
      <c r="K3" s="72"/>
      <c r="L3" s="72"/>
      <c r="M3" s="72"/>
      <c r="N3" s="72"/>
      <c r="O3" s="26"/>
      <c r="P3" s="26"/>
      <c r="Q3" s="26"/>
      <c r="R3" s="26"/>
      <c r="S3" s="73" t="s">
        <v>603</v>
      </c>
      <c r="T3" s="26"/>
      <c r="U3" s="26"/>
      <c r="V3" s="26"/>
      <c r="W3" s="26"/>
      <c r="X3" s="26"/>
      <c r="Y3" s="26"/>
      <c r="Z3" s="26"/>
    </row>
    <row r="4" spans="1:26" x14ac:dyDescent="0.3">
      <c r="A4" s="26"/>
      <c r="B4" s="26"/>
      <c r="C4" s="26"/>
      <c r="D4" s="26"/>
      <c r="E4" s="26"/>
      <c r="F4" s="26"/>
      <c r="G4" s="26"/>
      <c r="H4" s="26"/>
      <c r="I4" s="26"/>
      <c r="J4" s="26"/>
      <c r="K4" s="26"/>
      <c r="L4" s="26"/>
      <c r="M4" s="26"/>
      <c r="N4" s="26"/>
      <c r="O4" s="26"/>
      <c r="P4" s="26"/>
      <c r="Q4" s="26"/>
      <c r="R4" s="26"/>
      <c r="S4" s="26"/>
      <c r="T4" s="26"/>
      <c r="U4" s="26"/>
      <c r="V4" s="26"/>
      <c r="W4" s="26"/>
      <c r="X4" s="26"/>
      <c r="Y4" s="661" t="str">
        <f>Accueil!I6</f>
        <v>Version 1.15</v>
      </c>
      <c r="Z4" s="661"/>
    </row>
    <row r="5" spans="1:26" x14ac:dyDescent="0.3">
      <c r="A5" s="26"/>
      <c r="B5" s="26"/>
      <c r="C5" s="26"/>
      <c r="D5" s="26"/>
      <c r="E5" s="26"/>
      <c r="F5" s="26"/>
      <c r="G5" s="26"/>
      <c r="H5" s="26"/>
      <c r="I5" s="26"/>
      <c r="J5" s="26"/>
      <c r="K5" s="26"/>
      <c r="L5" s="26"/>
      <c r="M5" s="26"/>
      <c r="N5" s="26"/>
      <c r="O5" s="26"/>
      <c r="P5" s="26"/>
      <c r="Q5" s="26"/>
      <c r="R5" s="26"/>
      <c r="S5" s="26"/>
      <c r="T5" s="26"/>
      <c r="U5" s="26"/>
      <c r="V5" s="26"/>
      <c r="W5" s="26"/>
      <c r="X5" s="26"/>
      <c r="Y5" s="26"/>
      <c r="Z5" s="26"/>
    </row>
    <row r="7" spans="1:26" ht="15" thickBot="1" x14ac:dyDescent="0.35"/>
    <row r="8" spans="1:26" x14ac:dyDescent="0.3">
      <c r="B8" s="16"/>
      <c r="C8" s="17"/>
      <c r="D8" s="17"/>
      <c r="E8" s="17"/>
      <c r="F8" s="17"/>
      <c r="G8" s="17"/>
      <c r="H8" s="17"/>
      <c r="I8" s="17"/>
      <c r="J8" s="17"/>
      <c r="K8" s="17"/>
      <c r="L8" s="17"/>
      <c r="M8" s="17"/>
      <c r="N8" s="17"/>
      <c r="O8" s="17"/>
      <c r="P8" s="17"/>
      <c r="Q8" s="17"/>
      <c r="R8" s="17"/>
      <c r="S8" s="17"/>
      <c r="T8" s="17"/>
      <c r="U8" s="17"/>
      <c r="V8" s="17"/>
      <c r="W8" s="17"/>
      <c r="X8" s="17"/>
      <c r="Y8" s="18"/>
    </row>
    <row r="9" spans="1:26" x14ac:dyDescent="0.3">
      <c r="B9" s="19"/>
      <c r="Y9" s="20"/>
    </row>
    <row r="10" spans="1:26" x14ac:dyDescent="0.3">
      <c r="B10" s="19"/>
      <c r="C10" s="42" t="s">
        <v>2962</v>
      </c>
      <c r="K10" s="747"/>
      <c r="L10" s="748"/>
      <c r="M10" s="535" t="str">
        <f>IF(ISBLANK(cIrriguante),"A saisir","")</f>
        <v>A saisir</v>
      </c>
      <c r="O10" s="894" t="str">
        <f>IF(K10="Non","Exploitation non concernée par cet indicateur","")</f>
        <v/>
      </c>
      <c r="P10" s="894"/>
      <c r="Q10" s="894"/>
      <c r="R10" s="894"/>
      <c r="S10" s="894"/>
      <c r="Y10" s="20"/>
    </row>
    <row r="11" spans="1:26" x14ac:dyDescent="0.3">
      <c r="B11" s="19"/>
      <c r="Y11" s="20"/>
    </row>
    <row r="12" spans="1:26" x14ac:dyDescent="0.3">
      <c r="B12" s="19"/>
      <c r="C12" s="108" t="s">
        <v>2564</v>
      </c>
      <c r="D12" s="47"/>
      <c r="E12" s="47"/>
      <c r="F12" s="47"/>
      <c r="G12" s="47"/>
      <c r="H12" s="47"/>
      <c r="I12" s="47"/>
      <c r="J12" s="43"/>
      <c r="K12" s="833"/>
      <c r="L12" s="834"/>
      <c r="M12" s="65" t="s">
        <v>248</v>
      </c>
      <c r="O12" t="str">
        <f>IF(K12&gt;cSAU,"Attention : surface irrigable saisie &gt; SAU","")</f>
        <v/>
      </c>
      <c r="Y12" s="20"/>
    </row>
    <row r="13" spans="1:26" x14ac:dyDescent="0.3">
      <c r="B13" s="19"/>
      <c r="C13" s="110" t="s">
        <v>2505</v>
      </c>
      <c r="D13" s="48"/>
      <c r="E13" s="48"/>
      <c r="F13" s="48"/>
      <c r="G13" s="48"/>
      <c r="H13" s="48"/>
      <c r="I13" s="48"/>
      <c r="J13" s="44"/>
      <c r="K13" s="833"/>
      <c r="L13" s="834"/>
      <c r="M13" s="65" t="s">
        <v>248</v>
      </c>
      <c r="O13" s="141" t="str">
        <f>IF(K13&gt;K12,"Attention : surface irriguée &gt; surface irrigable","")</f>
        <v/>
      </c>
      <c r="Y13" s="20"/>
    </row>
    <row r="14" spans="1:26" x14ac:dyDescent="0.3">
      <c r="B14" s="19"/>
      <c r="C14" s="110" t="s">
        <v>2717</v>
      </c>
      <c r="D14" s="48"/>
      <c r="E14" s="48"/>
      <c r="F14" s="48"/>
      <c r="G14" s="48"/>
      <c r="H14" s="48"/>
      <c r="I14" s="48"/>
      <c r="J14" s="44"/>
      <c r="K14" s="837" t="str">
        <f>IFERROR(IF(cIrriguante="Oui",K13/K12,""),0)</f>
        <v/>
      </c>
      <c r="L14" s="838"/>
      <c r="M14" s="65"/>
      <c r="O14" s="141"/>
      <c r="Y14" s="20"/>
    </row>
    <row r="15" spans="1:26" x14ac:dyDescent="0.3">
      <c r="B15" s="19"/>
      <c r="C15" s="117"/>
      <c r="D15" s="99"/>
      <c r="E15" s="99"/>
      <c r="F15" s="99"/>
      <c r="G15" s="99"/>
      <c r="H15" s="99"/>
      <c r="I15" s="99"/>
      <c r="J15" s="99"/>
      <c r="K15" s="99"/>
      <c r="L15" s="99"/>
      <c r="M15" s="99"/>
      <c r="N15" s="99"/>
      <c r="O15" s="99"/>
      <c r="P15" s="116"/>
      <c r="Q15" s="99"/>
      <c r="R15" s="99"/>
      <c r="S15" s="99"/>
      <c r="T15" s="99"/>
      <c r="U15" s="99"/>
      <c r="V15" s="99"/>
      <c r="W15" s="99"/>
      <c r="X15" s="99"/>
      <c r="Y15" s="20"/>
    </row>
    <row r="16" spans="1:26" ht="15" thickBot="1" x14ac:dyDescent="0.35">
      <c r="B16" s="22"/>
      <c r="C16" s="23"/>
      <c r="D16" s="23"/>
      <c r="E16" s="23"/>
      <c r="F16" s="23"/>
      <c r="G16" s="23"/>
      <c r="H16" s="23"/>
      <c r="I16" s="23"/>
      <c r="J16" s="23"/>
      <c r="K16" s="23"/>
      <c r="L16" s="23"/>
      <c r="M16" s="23"/>
      <c r="N16" s="23"/>
      <c r="O16" s="23"/>
      <c r="P16" s="23"/>
      <c r="Q16" s="23"/>
      <c r="R16" s="23"/>
      <c r="S16" s="23"/>
      <c r="T16" s="23"/>
      <c r="U16" s="23"/>
      <c r="V16" s="23"/>
      <c r="W16" s="23"/>
      <c r="X16" s="23"/>
      <c r="Y16" s="24"/>
    </row>
    <row r="19" spans="2:25" ht="15" thickBot="1" x14ac:dyDescent="0.35"/>
    <row r="20" spans="2:25" x14ac:dyDescent="0.3">
      <c r="B20" s="16"/>
      <c r="C20" s="17"/>
      <c r="D20" s="17"/>
      <c r="E20" s="17"/>
      <c r="F20" s="17"/>
      <c r="G20" s="17"/>
      <c r="H20" s="17"/>
      <c r="I20" s="17"/>
      <c r="J20" s="17"/>
      <c r="K20" s="17"/>
      <c r="L20" s="17"/>
      <c r="M20" s="17"/>
      <c r="N20" s="17"/>
      <c r="O20" s="17"/>
      <c r="P20" s="17"/>
      <c r="Q20" s="17"/>
      <c r="R20" s="17"/>
      <c r="S20" s="17"/>
      <c r="T20" s="17"/>
      <c r="U20" s="17"/>
      <c r="V20" s="17"/>
      <c r="W20" s="17"/>
      <c r="X20" s="17"/>
      <c r="Y20" s="18"/>
    </row>
    <row r="21" spans="2:25" x14ac:dyDescent="0.3">
      <c r="B21" s="19"/>
      <c r="Y21" s="20"/>
    </row>
    <row r="22" spans="2:25" x14ac:dyDescent="0.3">
      <c r="B22" s="19"/>
      <c r="C22" s="21" t="s">
        <v>2506</v>
      </c>
      <c r="Y22" s="20"/>
    </row>
    <row r="23" spans="2:25" x14ac:dyDescent="0.3">
      <c r="B23" s="19"/>
      <c r="Y23" s="20"/>
    </row>
    <row r="24" spans="2:25" x14ac:dyDescent="0.3">
      <c r="B24" s="19"/>
      <c r="C24" s="108" t="s">
        <v>346</v>
      </c>
      <c r="D24" s="47"/>
      <c r="E24" s="47"/>
      <c r="F24" s="47"/>
      <c r="G24" s="47"/>
      <c r="H24" s="47"/>
      <c r="I24" s="47"/>
      <c r="J24" s="43"/>
      <c r="K24" s="747"/>
      <c r="L24" s="748"/>
      <c r="Y24" s="20"/>
    </row>
    <row r="25" spans="2:25" x14ac:dyDescent="0.3">
      <c r="B25" s="19"/>
      <c r="Y25" s="20"/>
    </row>
    <row r="26" spans="2:25" x14ac:dyDescent="0.3">
      <c r="B26" s="19"/>
      <c r="C26" s="108" t="s">
        <v>347</v>
      </c>
      <c r="D26" s="47"/>
      <c r="E26" s="47"/>
      <c r="F26" s="47"/>
      <c r="G26" s="47"/>
      <c r="H26" s="47"/>
      <c r="I26" s="47"/>
      <c r="J26" s="43"/>
      <c r="K26" s="747"/>
      <c r="L26" s="748"/>
      <c r="Y26" s="20"/>
    </row>
    <row r="27" spans="2:25" x14ac:dyDescent="0.3">
      <c r="B27" s="19"/>
      <c r="C27" s="110" t="s">
        <v>348</v>
      </c>
      <c r="D27" s="48"/>
      <c r="E27" s="48"/>
      <c r="F27" s="48"/>
      <c r="G27" s="48"/>
      <c r="H27" s="48"/>
      <c r="I27" s="48"/>
      <c r="J27" s="44"/>
      <c r="K27" s="747"/>
      <c r="L27" s="748"/>
      <c r="Y27" s="20"/>
    </row>
    <row r="28" spans="2:25" x14ac:dyDescent="0.3">
      <c r="B28" s="19"/>
      <c r="C28" s="110" t="s">
        <v>349</v>
      </c>
      <c r="D28" s="48"/>
      <c r="E28" s="48"/>
      <c r="F28" s="48"/>
      <c r="G28" s="48"/>
      <c r="H28" s="48"/>
      <c r="I28" s="48"/>
      <c r="J28" s="44"/>
      <c r="K28" s="851" t="str">
        <f>IF(AND(K26="",K27=""),"",K26*5+K27*7)</f>
        <v/>
      </c>
      <c r="L28" s="852"/>
      <c r="Y28" s="20"/>
    </row>
    <row r="29" spans="2:25" x14ac:dyDescent="0.3">
      <c r="B29" s="19"/>
      <c r="Y29" s="20"/>
    </row>
    <row r="30" spans="2:25" x14ac:dyDescent="0.3">
      <c r="B30" s="19"/>
      <c r="C30" s="42" t="s">
        <v>350</v>
      </c>
      <c r="J30" s="678" t="s">
        <v>365</v>
      </c>
      <c r="K30" s="678"/>
      <c r="L30" s="678"/>
      <c r="M30" s="678"/>
      <c r="Y30" s="20"/>
    </row>
    <row r="31" spans="2:25" x14ac:dyDescent="0.3">
      <c r="B31" s="19"/>
      <c r="D31" s="47" t="s">
        <v>351</v>
      </c>
      <c r="E31" s="47"/>
      <c r="F31" s="47"/>
      <c r="G31" s="47"/>
      <c r="H31" s="47"/>
      <c r="I31" s="47"/>
      <c r="J31" s="43"/>
      <c r="K31" s="747"/>
      <c r="L31" s="748"/>
      <c r="Y31" s="20"/>
    </row>
    <row r="32" spans="2:25" x14ac:dyDescent="0.3">
      <c r="B32" s="19"/>
      <c r="D32" s="48" t="s">
        <v>352</v>
      </c>
      <c r="E32" s="48"/>
      <c r="F32" s="48"/>
      <c r="G32" s="48"/>
      <c r="H32" s="48"/>
      <c r="I32" s="48"/>
      <c r="J32" s="44"/>
      <c r="K32" s="747"/>
      <c r="L32" s="748"/>
      <c r="Y32" s="20"/>
    </row>
    <row r="33" spans="2:25" x14ac:dyDescent="0.3">
      <c r="B33" s="19"/>
      <c r="D33" s="48" t="s">
        <v>353</v>
      </c>
      <c r="E33" s="48"/>
      <c r="F33" s="48"/>
      <c r="G33" s="48"/>
      <c r="H33" s="48"/>
      <c r="I33" s="48"/>
      <c r="J33" s="44"/>
      <c r="K33" s="747"/>
      <c r="L33" s="748"/>
      <c r="Y33" s="20"/>
    </row>
    <row r="34" spans="2:25" x14ac:dyDescent="0.3">
      <c r="B34" s="19"/>
      <c r="D34" s="48" t="s">
        <v>354</v>
      </c>
      <c r="E34" s="48"/>
      <c r="F34" s="48"/>
      <c r="G34" s="48"/>
      <c r="H34" s="48"/>
      <c r="I34" s="48"/>
      <c r="J34" s="44"/>
      <c r="K34" s="747"/>
      <c r="L34" s="748"/>
      <c r="Y34" s="20"/>
    </row>
    <row r="35" spans="2:25" x14ac:dyDescent="0.3">
      <c r="B35" s="19"/>
      <c r="D35" s="48" t="s">
        <v>355</v>
      </c>
      <c r="E35" s="48"/>
      <c r="F35" s="48"/>
      <c r="G35" s="48"/>
      <c r="H35" s="48"/>
      <c r="I35" s="48"/>
      <c r="J35" s="44"/>
      <c r="K35" s="747"/>
      <c r="L35" s="748"/>
      <c r="Y35" s="20"/>
    </row>
    <row r="36" spans="2:25" x14ac:dyDescent="0.3">
      <c r="B36" s="19"/>
      <c r="D36" s="48" t="s">
        <v>356</v>
      </c>
      <c r="E36" s="48"/>
      <c r="F36" s="48"/>
      <c r="G36" s="48"/>
      <c r="H36" s="48"/>
      <c r="I36" s="48"/>
      <c r="J36" s="44"/>
      <c r="K36" s="747"/>
      <c r="L36" s="748"/>
      <c r="Y36" s="20"/>
    </row>
    <row r="37" spans="2:25" x14ac:dyDescent="0.3">
      <c r="B37" s="19"/>
      <c r="D37" s="48" t="s">
        <v>357</v>
      </c>
      <c r="E37" s="48"/>
      <c r="F37" s="48"/>
      <c r="G37" s="48"/>
      <c r="H37" s="48"/>
      <c r="I37" s="48"/>
      <c r="J37" s="44"/>
      <c r="K37" s="747"/>
      <c r="L37" s="748"/>
      <c r="Y37" s="20"/>
    </row>
    <row r="38" spans="2:25" x14ac:dyDescent="0.3">
      <c r="B38" s="19"/>
      <c r="Y38" s="20"/>
    </row>
    <row r="39" spans="2:25" x14ac:dyDescent="0.3">
      <c r="B39" s="19"/>
      <c r="C39" s="42" t="s">
        <v>358</v>
      </c>
      <c r="Y39" s="20"/>
    </row>
    <row r="40" spans="2:25" x14ac:dyDescent="0.3">
      <c r="B40" s="19"/>
      <c r="D40" s="47" t="s">
        <v>359</v>
      </c>
      <c r="E40" s="47"/>
      <c r="F40" s="47"/>
      <c r="G40" s="47"/>
      <c r="H40" s="47"/>
      <c r="I40" s="47"/>
      <c r="J40" s="43"/>
      <c r="K40" s="747"/>
      <c r="L40" s="748"/>
      <c r="Y40" s="20"/>
    </row>
    <row r="41" spans="2:25" x14ac:dyDescent="0.3">
      <c r="B41" s="19"/>
      <c r="D41" s="48" t="s">
        <v>360</v>
      </c>
      <c r="E41" s="48"/>
      <c r="F41" s="48"/>
      <c r="G41" s="48"/>
      <c r="H41" s="48"/>
      <c r="I41" s="48"/>
      <c r="J41" s="44"/>
      <c r="K41" s="747"/>
      <c r="L41" s="748"/>
      <c r="Y41" s="20"/>
    </row>
    <row r="42" spans="2:25" x14ac:dyDescent="0.3">
      <c r="B42" s="19"/>
      <c r="D42" s="48" t="s">
        <v>361</v>
      </c>
      <c r="E42" s="48"/>
      <c r="F42" s="48"/>
      <c r="G42" s="48"/>
      <c r="H42" s="48"/>
      <c r="I42" s="48"/>
      <c r="J42" s="44"/>
      <c r="K42" s="747"/>
      <c r="L42" s="748"/>
      <c r="Y42" s="20"/>
    </row>
    <row r="43" spans="2:25" x14ac:dyDescent="0.3">
      <c r="B43" s="19"/>
      <c r="D43" s="48" t="s">
        <v>362</v>
      </c>
      <c r="E43" s="48"/>
      <c r="F43" s="48"/>
      <c r="G43" s="48"/>
      <c r="H43" s="48"/>
      <c r="I43" s="48"/>
      <c r="J43" s="44"/>
      <c r="K43" s="747"/>
      <c r="L43" s="748"/>
      <c r="Y43" s="20"/>
    </row>
    <row r="44" spans="2:25" x14ac:dyDescent="0.3">
      <c r="B44" s="19"/>
      <c r="D44" s="48" t="s">
        <v>363</v>
      </c>
      <c r="E44" s="48"/>
      <c r="F44" s="48"/>
      <c r="G44" s="48"/>
      <c r="H44" s="48"/>
      <c r="I44" s="48"/>
      <c r="J44" s="44"/>
      <c r="K44" s="747"/>
      <c r="L44" s="748"/>
      <c r="Y44" s="20"/>
    </row>
    <row r="45" spans="2:25" x14ac:dyDescent="0.3">
      <c r="B45" s="19"/>
      <c r="Y45" s="20"/>
    </row>
    <row r="46" spans="2:25" x14ac:dyDescent="0.3">
      <c r="B46" s="19"/>
      <c r="C46" s="108" t="s">
        <v>364</v>
      </c>
      <c r="D46" s="47"/>
      <c r="E46" s="47"/>
      <c r="F46" s="47"/>
      <c r="G46" s="47"/>
      <c r="H46" s="47"/>
      <c r="I46" s="47"/>
      <c r="J46" s="43"/>
      <c r="K46" s="851" t="str">
        <f>IF(AND(K24="OUI",K28&lt;&gt;""),SUM(K31:L37)+SUM(K40:L44),IF(K28&lt;&gt;"",K28,""))</f>
        <v/>
      </c>
      <c r="L46" s="852"/>
      <c r="N46" s="141" t="str">
        <f>IF(K46&gt;K28,"Attention : nombre de données manquantes &gt; nombre de données à enregistrer","")</f>
        <v/>
      </c>
      <c r="Y46" s="20"/>
    </row>
    <row r="47" spans="2:25" x14ac:dyDescent="0.3">
      <c r="B47" s="19"/>
      <c r="Y47" s="20"/>
    </row>
    <row r="48" spans="2:25" x14ac:dyDescent="0.3">
      <c r="B48" s="19"/>
      <c r="Y48" s="20"/>
    </row>
    <row r="49" spans="2:25" x14ac:dyDescent="0.3">
      <c r="B49" s="19"/>
      <c r="C49" s="42"/>
      <c r="M49" s="678"/>
      <c r="N49" s="678"/>
      <c r="Y49" s="20"/>
    </row>
    <row r="50" spans="2:25" x14ac:dyDescent="0.3">
      <c r="B50" s="19"/>
      <c r="M50" s="678" t="s">
        <v>3204</v>
      </c>
      <c r="N50" s="678"/>
      <c r="V50" s="680" t="s">
        <v>3205</v>
      </c>
      <c r="W50" s="680"/>
      <c r="X50" s="680"/>
      <c r="Y50" s="681"/>
    </row>
    <row r="51" spans="2:25" x14ac:dyDescent="0.3">
      <c r="B51" s="19"/>
      <c r="D51" s="75" t="s">
        <v>422</v>
      </c>
      <c r="E51" s="75"/>
      <c r="F51" s="75"/>
      <c r="G51" s="75"/>
      <c r="H51" s="75"/>
      <c r="I51" s="75"/>
      <c r="J51" s="100"/>
      <c r="K51" s="988">
        <f>IFERROR(K46/K28,0)</f>
        <v>0</v>
      </c>
      <c r="L51" s="989"/>
      <c r="M51" s="688">
        <f>IFERROR(IF(cSAU=0,0,IF(OR(cIrriguante="Non",K46=""),0,IF(AND(K51&gt;=0.2,K51&lt;0.3),2,IF(AND(K51&gt;=0.1,K51&lt;0.2),4,IF(K51&lt;0.1,6,0))))),0)</f>
        <v>0</v>
      </c>
      <c r="N51" s="689"/>
      <c r="W51" s="694">
        <v>6</v>
      </c>
      <c r="X51" s="695"/>
      <c r="Y51" s="20"/>
    </row>
    <row r="52" spans="2:25" x14ac:dyDescent="0.3">
      <c r="B52" s="19"/>
      <c r="Y52" s="20"/>
    </row>
    <row r="53" spans="2:25" x14ac:dyDescent="0.3">
      <c r="B53" s="19"/>
      <c r="Y53" s="20"/>
    </row>
    <row r="54" spans="2:25" x14ac:dyDescent="0.3">
      <c r="B54" s="19"/>
      <c r="D54" s="70" t="s">
        <v>2472</v>
      </c>
      <c r="Y54" s="20"/>
    </row>
    <row r="55" spans="2:25" x14ac:dyDescent="0.3">
      <c r="B55" s="19"/>
      <c r="D55" s="652"/>
      <c r="E55" s="653"/>
      <c r="F55" s="653"/>
      <c r="G55" s="653"/>
      <c r="H55" s="653"/>
      <c r="I55" s="653"/>
      <c r="J55" s="653"/>
      <c r="K55" s="653"/>
      <c r="L55" s="653"/>
      <c r="M55" s="653"/>
      <c r="N55" s="653"/>
      <c r="O55" s="653"/>
      <c r="P55" s="653"/>
      <c r="Q55" s="653"/>
      <c r="R55" s="653"/>
      <c r="S55" s="653"/>
      <c r="T55" s="653"/>
      <c r="U55" s="653"/>
      <c r="V55" s="653"/>
      <c r="W55" s="653"/>
      <c r="X55" s="654"/>
      <c r="Y55" s="20"/>
    </row>
    <row r="56" spans="2:25" x14ac:dyDescent="0.3">
      <c r="B56" s="19"/>
      <c r="D56" s="655"/>
      <c r="E56" s="656"/>
      <c r="F56" s="656"/>
      <c r="G56" s="656"/>
      <c r="H56" s="656"/>
      <c r="I56" s="656"/>
      <c r="J56" s="656"/>
      <c r="K56" s="656"/>
      <c r="L56" s="656"/>
      <c r="M56" s="656"/>
      <c r="N56" s="656"/>
      <c r="O56" s="656"/>
      <c r="P56" s="656"/>
      <c r="Q56" s="656"/>
      <c r="R56" s="656"/>
      <c r="S56" s="656"/>
      <c r="T56" s="656"/>
      <c r="U56" s="656"/>
      <c r="V56" s="656"/>
      <c r="W56" s="656"/>
      <c r="X56" s="657"/>
      <c r="Y56" s="20"/>
    </row>
    <row r="57" spans="2:25" x14ac:dyDescent="0.3">
      <c r="B57" s="19"/>
      <c r="D57" s="655"/>
      <c r="E57" s="656"/>
      <c r="F57" s="656"/>
      <c r="G57" s="656"/>
      <c r="H57" s="656"/>
      <c r="I57" s="656"/>
      <c r="J57" s="656"/>
      <c r="K57" s="656"/>
      <c r="L57" s="656"/>
      <c r="M57" s="656"/>
      <c r="N57" s="656"/>
      <c r="O57" s="656"/>
      <c r="P57" s="656"/>
      <c r="Q57" s="656"/>
      <c r="R57" s="656"/>
      <c r="S57" s="656"/>
      <c r="T57" s="656"/>
      <c r="U57" s="656"/>
      <c r="V57" s="656"/>
      <c r="W57" s="656"/>
      <c r="X57" s="657"/>
      <c r="Y57" s="20"/>
    </row>
    <row r="58" spans="2:25" x14ac:dyDescent="0.3">
      <c r="B58" s="19"/>
      <c r="D58" s="655"/>
      <c r="E58" s="656"/>
      <c r="F58" s="656"/>
      <c r="G58" s="656"/>
      <c r="H58" s="656"/>
      <c r="I58" s="656"/>
      <c r="J58" s="656"/>
      <c r="K58" s="656"/>
      <c r="L58" s="656"/>
      <c r="M58" s="656"/>
      <c r="N58" s="656"/>
      <c r="O58" s="656"/>
      <c r="P58" s="656"/>
      <c r="Q58" s="656"/>
      <c r="R58" s="656"/>
      <c r="S58" s="656"/>
      <c r="T58" s="656"/>
      <c r="U58" s="656"/>
      <c r="V58" s="656"/>
      <c r="W58" s="656"/>
      <c r="X58" s="657"/>
      <c r="Y58" s="20"/>
    </row>
    <row r="59" spans="2:25" x14ac:dyDescent="0.3">
      <c r="B59" s="19"/>
      <c r="D59" s="655"/>
      <c r="E59" s="656"/>
      <c r="F59" s="656"/>
      <c r="G59" s="656"/>
      <c r="H59" s="656"/>
      <c r="I59" s="656"/>
      <c r="J59" s="656"/>
      <c r="K59" s="656"/>
      <c r="L59" s="656"/>
      <c r="M59" s="656"/>
      <c r="N59" s="656"/>
      <c r="O59" s="656"/>
      <c r="P59" s="656"/>
      <c r="Q59" s="656"/>
      <c r="R59" s="656"/>
      <c r="S59" s="656"/>
      <c r="T59" s="656"/>
      <c r="U59" s="656"/>
      <c r="V59" s="656"/>
      <c r="W59" s="656"/>
      <c r="X59" s="657"/>
      <c r="Y59" s="20"/>
    </row>
    <row r="60" spans="2:25" x14ac:dyDescent="0.3">
      <c r="B60" s="19"/>
      <c r="D60" s="655"/>
      <c r="E60" s="656"/>
      <c r="F60" s="656"/>
      <c r="G60" s="656"/>
      <c r="H60" s="656"/>
      <c r="I60" s="656"/>
      <c r="J60" s="656"/>
      <c r="K60" s="656"/>
      <c r="L60" s="656"/>
      <c r="M60" s="656"/>
      <c r="N60" s="656"/>
      <c r="O60" s="656"/>
      <c r="P60" s="656"/>
      <c r="Q60" s="656"/>
      <c r="R60" s="656"/>
      <c r="S60" s="656"/>
      <c r="T60" s="656"/>
      <c r="U60" s="656"/>
      <c r="V60" s="656"/>
      <c r="W60" s="656"/>
      <c r="X60" s="657"/>
      <c r="Y60" s="20"/>
    </row>
    <row r="61" spans="2:25" x14ac:dyDescent="0.3">
      <c r="B61" s="19"/>
      <c r="D61" s="655"/>
      <c r="E61" s="656"/>
      <c r="F61" s="656"/>
      <c r="G61" s="656"/>
      <c r="H61" s="656"/>
      <c r="I61" s="656"/>
      <c r="J61" s="656"/>
      <c r="K61" s="656"/>
      <c r="L61" s="656"/>
      <c r="M61" s="656"/>
      <c r="N61" s="656"/>
      <c r="O61" s="656"/>
      <c r="P61" s="656"/>
      <c r="Q61" s="656"/>
      <c r="R61" s="656"/>
      <c r="S61" s="656"/>
      <c r="T61" s="656"/>
      <c r="U61" s="656"/>
      <c r="V61" s="656"/>
      <c r="W61" s="656"/>
      <c r="X61" s="657"/>
      <c r="Y61" s="20"/>
    </row>
    <row r="62" spans="2:25" x14ac:dyDescent="0.3">
      <c r="B62" s="19"/>
      <c r="D62" s="655"/>
      <c r="E62" s="656"/>
      <c r="F62" s="656"/>
      <c r="G62" s="656"/>
      <c r="H62" s="656"/>
      <c r="I62" s="656"/>
      <c r="J62" s="656"/>
      <c r="K62" s="656"/>
      <c r="L62" s="656"/>
      <c r="M62" s="656"/>
      <c r="N62" s="656"/>
      <c r="O62" s="656"/>
      <c r="P62" s="656"/>
      <c r="Q62" s="656"/>
      <c r="R62" s="656"/>
      <c r="S62" s="656"/>
      <c r="T62" s="656"/>
      <c r="U62" s="656"/>
      <c r="V62" s="656"/>
      <c r="W62" s="656"/>
      <c r="X62" s="657"/>
      <c r="Y62" s="20"/>
    </row>
    <row r="63" spans="2:25" x14ac:dyDescent="0.3">
      <c r="B63" s="19"/>
      <c r="D63" s="655"/>
      <c r="E63" s="656"/>
      <c r="F63" s="656"/>
      <c r="G63" s="656"/>
      <c r="H63" s="656"/>
      <c r="I63" s="656"/>
      <c r="J63" s="656"/>
      <c r="K63" s="656"/>
      <c r="L63" s="656"/>
      <c r="M63" s="656"/>
      <c r="N63" s="656"/>
      <c r="O63" s="656"/>
      <c r="P63" s="656"/>
      <c r="Q63" s="656"/>
      <c r="R63" s="656"/>
      <c r="S63" s="656"/>
      <c r="T63" s="656"/>
      <c r="U63" s="656"/>
      <c r="V63" s="656"/>
      <c r="W63" s="656"/>
      <c r="X63" s="657"/>
      <c r="Y63" s="20"/>
    </row>
    <row r="64" spans="2:25" x14ac:dyDescent="0.3">
      <c r="B64" s="19"/>
      <c r="D64" s="658"/>
      <c r="E64" s="659"/>
      <c r="F64" s="659"/>
      <c r="G64" s="659"/>
      <c r="H64" s="659"/>
      <c r="I64" s="659"/>
      <c r="J64" s="659"/>
      <c r="K64" s="659"/>
      <c r="L64" s="659"/>
      <c r="M64" s="659"/>
      <c r="N64" s="659"/>
      <c r="O64" s="659"/>
      <c r="P64" s="659"/>
      <c r="Q64" s="659"/>
      <c r="R64" s="659"/>
      <c r="S64" s="659"/>
      <c r="T64" s="659"/>
      <c r="U64" s="659"/>
      <c r="V64" s="659"/>
      <c r="W64" s="659"/>
      <c r="X64" s="660"/>
      <c r="Y64" s="20"/>
    </row>
    <row r="65" spans="2:25" x14ac:dyDescent="0.3">
      <c r="B65" s="19"/>
      <c r="Y65" s="20"/>
    </row>
    <row r="66" spans="2:25" ht="15" thickBot="1" x14ac:dyDescent="0.35">
      <c r="B66" s="22"/>
      <c r="C66" s="23"/>
      <c r="D66" s="23"/>
      <c r="E66" s="23"/>
      <c r="F66" s="23"/>
      <c r="G66" s="23"/>
      <c r="H66" s="23"/>
      <c r="I66" s="23"/>
      <c r="J66" s="23"/>
      <c r="K66" s="23"/>
      <c r="L66" s="23"/>
      <c r="M66" s="23"/>
      <c r="N66" s="23"/>
      <c r="O66" s="23"/>
      <c r="P66" s="23"/>
      <c r="Q66" s="23"/>
      <c r="R66" s="23"/>
      <c r="S66" s="23"/>
      <c r="T66" s="23"/>
      <c r="U66" s="23"/>
      <c r="V66" s="23"/>
      <c r="W66" s="23"/>
      <c r="X66" s="23"/>
      <c r="Y66" s="24"/>
    </row>
    <row r="69" spans="2:25" ht="15" thickBot="1" x14ac:dyDescent="0.35"/>
    <row r="70" spans="2:25" x14ac:dyDescent="0.3">
      <c r="B70" s="16"/>
      <c r="C70" s="17"/>
      <c r="D70" s="17"/>
      <c r="E70" s="17"/>
      <c r="F70" s="17"/>
      <c r="G70" s="17"/>
      <c r="H70" s="17"/>
      <c r="I70" s="17"/>
      <c r="J70" s="17"/>
      <c r="K70" s="17"/>
      <c r="L70" s="17"/>
      <c r="M70" s="17"/>
      <c r="N70" s="17"/>
      <c r="O70" s="17"/>
      <c r="P70" s="17"/>
      <c r="Q70" s="17"/>
      <c r="R70" s="17"/>
      <c r="S70" s="17"/>
      <c r="T70" s="17"/>
      <c r="U70" s="17"/>
      <c r="V70" s="17"/>
      <c r="W70" s="17"/>
      <c r="X70" s="17"/>
      <c r="Y70" s="18"/>
    </row>
    <row r="71" spans="2:25" x14ac:dyDescent="0.3">
      <c r="B71" s="19"/>
      <c r="Y71" s="20"/>
    </row>
    <row r="72" spans="2:25" ht="15" customHeight="1" x14ac:dyDescent="0.3">
      <c r="B72" s="19"/>
      <c r="C72" s="128" t="s">
        <v>2507</v>
      </c>
      <c r="D72" s="128"/>
      <c r="E72" s="128"/>
      <c r="F72" s="128"/>
      <c r="G72" s="128"/>
      <c r="H72" s="128"/>
      <c r="I72" s="128"/>
      <c r="J72" s="128"/>
      <c r="K72" s="128"/>
      <c r="L72" s="128"/>
      <c r="M72" s="128"/>
      <c r="N72" s="128"/>
      <c r="O72" s="128"/>
      <c r="P72" s="128"/>
      <c r="Q72" s="128"/>
      <c r="R72" s="128"/>
      <c r="S72" s="128"/>
      <c r="T72" s="128"/>
      <c r="U72" s="128"/>
      <c r="V72" s="128"/>
      <c r="W72" s="128"/>
      <c r="Y72" s="20"/>
    </row>
    <row r="73" spans="2:25" x14ac:dyDescent="0.3">
      <c r="B73" s="19"/>
      <c r="C73" s="128"/>
      <c r="D73" s="128"/>
      <c r="E73" s="128"/>
      <c r="F73" s="128"/>
      <c r="G73" s="128"/>
      <c r="H73" s="128"/>
      <c r="I73" s="128"/>
      <c r="J73" s="128"/>
      <c r="K73" s="128"/>
      <c r="L73" s="128"/>
      <c r="M73" s="128"/>
      <c r="N73" s="128"/>
      <c r="O73" s="128"/>
      <c r="P73" s="128"/>
      <c r="Q73" s="128"/>
      <c r="R73" s="128"/>
      <c r="S73" s="128"/>
      <c r="T73" s="128"/>
      <c r="U73" s="128"/>
      <c r="V73" s="128"/>
      <c r="W73" s="128"/>
      <c r="Y73" s="20"/>
    </row>
    <row r="74" spans="2:25" x14ac:dyDescent="0.3">
      <c r="B74" s="19"/>
      <c r="C74" s="128"/>
      <c r="D74" s="128"/>
      <c r="E74" s="128"/>
      <c r="F74" s="128"/>
      <c r="G74" s="128"/>
      <c r="H74" s="128"/>
      <c r="I74" s="128"/>
      <c r="J74" s="128"/>
      <c r="K74" s="128"/>
      <c r="L74" s="128"/>
      <c r="O74" s="678"/>
      <c r="P74" s="678"/>
      <c r="Q74" s="128"/>
      <c r="R74" s="128"/>
      <c r="S74" s="128"/>
      <c r="T74" s="128"/>
      <c r="U74" s="128"/>
      <c r="V74" s="128"/>
      <c r="W74" s="128"/>
      <c r="Y74" s="20"/>
    </row>
    <row r="75" spans="2:25" x14ac:dyDescent="0.3">
      <c r="B75" s="19"/>
      <c r="C75" s="341" t="s">
        <v>2358</v>
      </c>
      <c r="Y75" s="20"/>
    </row>
    <row r="76" spans="2:25" x14ac:dyDescent="0.3">
      <c r="B76" s="19"/>
      <c r="D76" s="47" t="s">
        <v>366</v>
      </c>
      <c r="E76" s="47"/>
      <c r="F76" s="47"/>
      <c r="G76" s="47"/>
      <c r="H76" s="47"/>
      <c r="I76" s="47"/>
      <c r="J76" s="47"/>
      <c r="K76" s="47"/>
      <c r="L76" s="43"/>
      <c r="M76" s="747"/>
      <c r="N76" s="748"/>
      <c r="Y76" s="20"/>
    </row>
    <row r="77" spans="2:25" x14ac:dyDescent="0.3">
      <c r="B77" s="19"/>
      <c r="D77" s="48" t="s">
        <v>367</v>
      </c>
      <c r="E77" s="48"/>
      <c r="F77" s="48"/>
      <c r="G77" s="48"/>
      <c r="H77" s="48"/>
      <c r="I77" s="48"/>
      <c r="J77" s="48"/>
      <c r="K77" s="48"/>
      <c r="L77" s="44"/>
      <c r="M77" s="747"/>
      <c r="N77" s="748"/>
      <c r="Y77" s="20"/>
    </row>
    <row r="78" spans="2:25" x14ac:dyDescent="0.3">
      <c r="B78" s="19"/>
      <c r="D78" s="48" t="s">
        <v>368</v>
      </c>
      <c r="E78" s="48"/>
      <c r="F78" s="48"/>
      <c r="G78" s="48"/>
      <c r="H78" s="48"/>
      <c r="I78" s="48"/>
      <c r="J78" s="48"/>
      <c r="K78" s="48"/>
      <c r="L78" s="44"/>
      <c r="M78" s="747"/>
      <c r="N78" s="748"/>
      <c r="Y78" s="20"/>
    </row>
    <row r="79" spans="2:25" x14ac:dyDescent="0.3">
      <c r="B79" s="19"/>
      <c r="M79" s="158"/>
      <c r="N79" s="158"/>
      <c r="O79" s="678"/>
      <c r="P79" s="678"/>
      <c r="Y79" s="20"/>
    </row>
    <row r="80" spans="2:25" x14ac:dyDescent="0.3">
      <c r="B80" s="19"/>
      <c r="D80" s="75" t="s">
        <v>2384</v>
      </c>
      <c r="E80" s="75"/>
      <c r="F80" s="75"/>
      <c r="G80" s="75"/>
      <c r="H80" s="75"/>
      <c r="I80" s="75"/>
      <c r="J80" s="75"/>
      <c r="K80" s="75"/>
      <c r="L80" s="75"/>
      <c r="M80" s="310"/>
      <c r="N80" s="311"/>
      <c r="O80" s="842">
        <f>MIN(IF(M76&gt;=1,1,0)+IF(M77&gt;=1,1,0)+IF(M78&gt;=1,2,0),2)</f>
        <v>0</v>
      </c>
      <c r="P80" s="843"/>
      <c r="Y80" s="20"/>
    </row>
    <row r="81" spans="2:25" x14ac:dyDescent="0.3">
      <c r="B81" s="19"/>
      <c r="Y81" s="20"/>
    </row>
    <row r="82" spans="2:25" ht="15" customHeight="1" x14ac:dyDescent="0.3">
      <c r="B82" s="19"/>
      <c r="Y82" s="20"/>
    </row>
    <row r="83" spans="2:25" ht="15" customHeight="1" x14ac:dyDescent="0.3">
      <c r="B83" s="19"/>
      <c r="C83" s="70" t="s">
        <v>2359</v>
      </c>
      <c r="M83" s="860" t="s">
        <v>335</v>
      </c>
      <c r="N83" s="860"/>
      <c r="Y83" s="20"/>
    </row>
    <row r="84" spans="2:25" x14ac:dyDescent="0.3">
      <c r="B84" s="19"/>
      <c r="D84" s="47" t="s">
        <v>2360</v>
      </c>
      <c r="E84" s="47"/>
      <c r="F84" s="90"/>
      <c r="G84" s="90"/>
      <c r="H84" s="90"/>
      <c r="I84" s="90"/>
      <c r="J84" s="90"/>
      <c r="K84" s="90"/>
      <c r="L84" s="342"/>
      <c r="M84" s="976"/>
      <c r="N84" s="977"/>
      <c r="P84" s="141" t="str">
        <f>IF(M84&gt;Surfaces!O198,"Attention : surface saisie &gt; surface en horticulture","")</f>
        <v/>
      </c>
      <c r="Y84" s="20"/>
    </row>
    <row r="85" spans="2:25" x14ac:dyDescent="0.3">
      <c r="B85" s="19"/>
      <c r="D85" s="106" t="s">
        <v>2482</v>
      </c>
      <c r="E85" s="48"/>
      <c r="F85" s="106"/>
      <c r="G85" s="106"/>
      <c r="H85" s="106"/>
      <c r="I85" s="106"/>
      <c r="J85" s="106"/>
      <c r="K85" s="106"/>
      <c r="L85" s="107"/>
      <c r="M85" s="837">
        <f>IFERROR(M84/Surfaces!O198,0)</f>
        <v>0</v>
      </c>
      <c r="N85" s="838"/>
      <c r="O85" s="94"/>
      <c r="P85" s="94"/>
      <c r="Y85" s="20"/>
    </row>
    <row r="86" spans="2:25" x14ac:dyDescent="0.3">
      <c r="B86" s="19"/>
      <c r="D86" s="177"/>
      <c r="F86" s="177"/>
      <c r="G86" s="177"/>
      <c r="H86" s="177"/>
      <c r="I86" s="177"/>
      <c r="J86" s="177"/>
      <c r="K86" s="177"/>
      <c r="L86" s="177"/>
      <c r="Y86" s="20"/>
    </row>
    <row r="87" spans="2:25" x14ac:dyDescent="0.3">
      <c r="B87" s="19"/>
      <c r="D87" s="75" t="s">
        <v>2385</v>
      </c>
      <c r="E87" s="40"/>
      <c r="F87" s="75"/>
      <c r="G87" s="75"/>
      <c r="H87" s="75"/>
      <c r="I87" s="75"/>
      <c r="J87" s="75"/>
      <c r="K87" s="75"/>
      <c r="L87" s="75"/>
      <c r="M87" s="40"/>
      <c r="N87" s="45"/>
      <c r="O87" s="842">
        <f>IF(M85&gt;=0.75,2,IF(AND(M85&gt;=0.5,M85&lt;0.75),1,0))</f>
        <v>0</v>
      </c>
      <c r="P87" s="843"/>
      <c r="Y87" s="20"/>
    </row>
    <row r="88" spans="2:25" x14ac:dyDescent="0.3">
      <c r="B88" s="19"/>
      <c r="Y88" s="20"/>
    </row>
    <row r="89" spans="2:25" x14ac:dyDescent="0.3">
      <c r="B89" s="19"/>
      <c r="Y89" s="20"/>
    </row>
    <row r="90" spans="2:25" x14ac:dyDescent="0.3">
      <c r="B90" s="19"/>
      <c r="D90" s="75" t="s">
        <v>2483</v>
      </c>
      <c r="E90" s="75"/>
      <c r="F90" s="75"/>
      <c r="G90" s="75"/>
      <c r="H90" s="75"/>
      <c r="I90" s="75"/>
      <c r="J90" s="75"/>
      <c r="K90" s="75"/>
      <c r="L90" s="100"/>
      <c r="M90" s="837">
        <f>IF(cSAU=0,0,((Surfaces!O25-Surfaces!O198) /Surfaces!O25))</f>
        <v>0</v>
      </c>
      <c r="N90" s="838"/>
      <c r="W90" s="301"/>
      <c r="X90" s="301"/>
      <c r="Y90" s="20"/>
    </row>
    <row r="91" spans="2:25" x14ac:dyDescent="0.3">
      <c r="B91" s="19"/>
      <c r="D91" s="75" t="s">
        <v>2484</v>
      </c>
      <c r="E91" s="75"/>
      <c r="F91" s="75"/>
      <c r="G91" s="75"/>
      <c r="H91" s="75"/>
      <c r="I91" s="75"/>
      <c r="J91" s="75"/>
      <c r="K91" s="75"/>
      <c r="L91" s="100"/>
      <c r="M91" s="837">
        <f xml:space="preserve"> IF(cSAU=0,0,(Surfaces!O198/Surfaces!O25))</f>
        <v>0</v>
      </c>
      <c r="N91" s="838"/>
      <c r="O91" s="678" t="s">
        <v>3204</v>
      </c>
      <c r="P91" s="678"/>
      <c r="V91" s="680" t="s">
        <v>3205</v>
      </c>
      <c r="W91" s="680"/>
      <c r="X91" s="680"/>
      <c r="Y91" s="681"/>
    </row>
    <row r="92" spans="2:25" x14ac:dyDescent="0.3">
      <c r="B92" s="19"/>
      <c r="D92" s="75" t="s">
        <v>417</v>
      </c>
      <c r="E92" s="40"/>
      <c r="F92" s="75"/>
      <c r="G92" s="75"/>
      <c r="H92" s="75"/>
      <c r="I92" s="75"/>
      <c r="J92" s="75"/>
      <c r="K92" s="75"/>
      <c r="L92" s="75"/>
      <c r="M92" s="40"/>
      <c r="N92" s="45"/>
      <c r="O92" s="858">
        <f>IF(cIrriguante="Non",0,IFERROR(MIN(O80*M90+ O87 *M91,2),0))</f>
        <v>0</v>
      </c>
      <c r="P92" s="859"/>
      <c r="W92" s="694">
        <v>2</v>
      </c>
      <c r="X92" s="695"/>
      <c r="Y92" s="20"/>
    </row>
    <row r="93" spans="2:25" x14ac:dyDescent="0.3">
      <c r="B93" s="19"/>
      <c r="Y93" s="20"/>
    </row>
    <row r="94" spans="2:25" x14ac:dyDescent="0.3">
      <c r="B94" s="19"/>
      <c r="Y94" s="20"/>
    </row>
    <row r="95" spans="2:25" x14ac:dyDescent="0.3">
      <c r="B95" s="19"/>
      <c r="D95" s="70" t="s">
        <v>2472</v>
      </c>
      <c r="Y95" s="20"/>
    </row>
    <row r="96" spans="2:25" x14ac:dyDescent="0.3">
      <c r="B96" s="19"/>
      <c r="D96" s="652"/>
      <c r="E96" s="653"/>
      <c r="F96" s="653"/>
      <c r="G96" s="653"/>
      <c r="H96" s="653"/>
      <c r="I96" s="653"/>
      <c r="J96" s="653"/>
      <c r="K96" s="653"/>
      <c r="L96" s="653"/>
      <c r="M96" s="653"/>
      <c r="N96" s="653"/>
      <c r="O96" s="653"/>
      <c r="P96" s="653"/>
      <c r="Q96" s="653"/>
      <c r="R96" s="653"/>
      <c r="S96" s="653"/>
      <c r="T96" s="653"/>
      <c r="U96" s="653"/>
      <c r="V96" s="653"/>
      <c r="W96" s="653"/>
      <c r="X96" s="654"/>
      <c r="Y96" s="20"/>
    </row>
    <row r="97" spans="2:25" x14ac:dyDescent="0.3">
      <c r="B97" s="19"/>
      <c r="D97" s="655"/>
      <c r="E97" s="656"/>
      <c r="F97" s="656"/>
      <c r="G97" s="656"/>
      <c r="H97" s="656"/>
      <c r="I97" s="656"/>
      <c r="J97" s="656"/>
      <c r="K97" s="656"/>
      <c r="L97" s="656"/>
      <c r="M97" s="656"/>
      <c r="N97" s="656"/>
      <c r="O97" s="656"/>
      <c r="P97" s="656"/>
      <c r="Q97" s="656"/>
      <c r="R97" s="656"/>
      <c r="S97" s="656"/>
      <c r="T97" s="656"/>
      <c r="U97" s="656"/>
      <c r="V97" s="656"/>
      <c r="W97" s="656"/>
      <c r="X97" s="657"/>
      <c r="Y97" s="20"/>
    </row>
    <row r="98" spans="2:25" x14ac:dyDescent="0.3">
      <c r="B98" s="19"/>
      <c r="D98" s="655"/>
      <c r="E98" s="656"/>
      <c r="F98" s="656"/>
      <c r="G98" s="656"/>
      <c r="H98" s="656"/>
      <c r="I98" s="656"/>
      <c r="J98" s="656"/>
      <c r="K98" s="656"/>
      <c r="L98" s="656"/>
      <c r="M98" s="656"/>
      <c r="N98" s="656"/>
      <c r="O98" s="656"/>
      <c r="P98" s="656"/>
      <c r="Q98" s="656"/>
      <c r="R98" s="656"/>
      <c r="S98" s="656"/>
      <c r="T98" s="656"/>
      <c r="U98" s="656"/>
      <c r="V98" s="656"/>
      <c r="W98" s="656"/>
      <c r="X98" s="657"/>
      <c r="Y98" s="20"/>
    </row>
    <row r="99" spans="2:25" x14ac:dyDescent="0.3">
      <c r="B99" s="19"/>
      <c r="D99" s="655"/>
      <c r="E99" s="656"/>
      <c r="F99" s="656"/>
      <c r="G99" s="656"/>
      <c r="H99" s="656"/>
      <c r="I99" s="656"/>
      <c r="J99" s="656"/>
      <c r="K99" s="656"/>
      <c r="L99" s="656"/>
      <c r="M99" s="656"/>
      <c r="N99" s="656"/>
      <c r="O99" s="656"/>
      <c r="P99" s="656"/>
      <c r="Q99" s="656"/>
      <c r="R99" s="656"/>
      <c r="S99" s="656"/>
      <c r="T99" s="656"/>
      <c r="U99" s="656"/>
      <c r="V99" s="656"/>
      <c r="W99" s="656"/>
      <c r="X99" s="657"/>
      <c r="Y99" s="20"/>
    </row>
    <row r="100" spans="2:25" x14ac:dyDescent="0.3">
      <c r="B100" s="19"/>
      <c r="D100" s="658"/>
      <c r="E100" s="659"/>
      <c r="F100" s="659"/>
      <c r="G100" s="659"/>
      <c r="H100" s="659"/>
      <c r="I100" s="659"/>
      <c r="J100" s="659"/>
      <c r="K100" s="659"/>
      <c r="L100" s="659"/>
      <c r="M100" s="659"/>
      <c r="N100" s="659"/>
      <c r="O100" s="659"/>
      <c r="P100" s="659"/>
      <c r="Q100" s="659"/>
      <c r="R100" s="659"/>
      <c r="S100" s="659"/>
      <c r="T100" s="659"/>
      <c r="U100" s="659"/>
      <c r="V100" s="659"/>
      <c r="W100" s="659"/>
      <c r="X100" s="660"/>
      <c r="Y100" s="20"/>
    </row>
    <row r="101" spans="2:25" x14ac:dyDescent="0.3">
      <c r="B101" s="19"/>
      <c r="Y101" s="20"/>
    </row>
    <row r="102" spans="2:25" ht="15" thickBot="1" x14ac:dyDescent="0.35">
      <c r="B102" s="22"/>
      <c r="C102" s="23"/>
      <c r="D102" s="23"/>
      <c r="E102" s="23"/>
      <c r="F102" s="23"/>
      <c r="G102" s="23"/>
      <c r="H102" s="23"/>
      <c r="I102" s="23"/>
      <c r="J102" s="23"/>
      <c r="K102" s="23"/>
      <c r="L102" s="23"/>
      <c r="M102" s="23"/>
      <c r="N102" s="23"/>
      <c r="O102" s="23"/>
      <c r="P102" s="23"/>
      <c r="Q102" s="23"/>
      <c r="R102" s="23"/>
      <c r="S102" s="23"/>
      <c r="T102" s="23"/>
      <c r="U102" s="23"/>
      <c r="V102" s="23"/>
      <c r="W102" s="23"/>
      <c r="X102" s="23"/>
      <c r="Y102" s="24"/>
    </row>
    <row r="105" spans="2:25" ht="15" thickBot="1" x14ac:dyDescent="0.35"/>
    <row r="106" spans="2:25" x14ac:dyDescent="0.3">
      <c r="B106" s="16"/>
      <c r="C106" s="17"/>
      <c r="D106" s="17"/>
      <c r="E106" s="17"/>
      <c r="F106" s="17"/>
      <c r="G106" s="17"/>
      <c r="H106" s="17"/>
      <c r="I106" s="17"/>
      <c r="J106" s="17"/>
      <c r="K106" s="17"/>
      <c r="L106" s="17"/>
      <c r="M106" s="17"/>
      <c r="N106" s="17"/>
      <c r="O106" s="17"/>
      <c r="P106" s="17"/>
      <c r="Q106" s="17"/>
      <c r="R106" s="17"/>
      <c r="S106" s="17"/>
      <c r="T106" s="17"/>
      <c r="U106" s="17"/>
      <c r="V106" s="17"/>
      <c r="W106" s="17"/>
      <c r="X106" s="17"/>
      <c r="Y106" s="18"/>
    </row>
    <row r="107" spans="2:25" x14ac:dyDescent="0.3">
      <c r="B107" s="19"/>
      <c r="Y107" s="20"/>
    </row>
    <row r="108" spans="2:25" x14ac:dyDescent="0.3">
      <c r="B108" s="19"/>
      <c r="C108" s="985" t="s">
        <v>2508</v>
      </c>
      <c r="D108" s="776"/>
      <c r="E108" s="776"/>
      <c r="F108" s="776"/>
      <c r="G108" s="776"/>
      <c r="H108" s="776"/>
      <c r="I108" s="776"/>
      <c r="J108" s="776"/>
      <c r="K108" s="776"/>
      <c r="L108" s="776"/>
      <c r="M108" s="776"/>
      <c r="N108" s="776"/>
      <c r="O108" s="776"/>
      <c r="P108" s="776"/>
      <c r="Q108" s="776"/>
      <c r="R108" s="776"/>
      <c r="S108" s="776"/>
      <c r="T108" s="776"/>
      <c r="U108" s="776"/>
      <c r="V108" s="776"/>
      <c r="W108" s="776"/>
      <c r="Y108" s="20"/>
    </row>
    <row r="109" spans="2:25" x14ac:dyDescent="0.3">
      <c r="B109" s="19"/>
      <c r="C109" s="776"/>
      <c r="D109" s="776"/>
      <c r="E109" s="776"/>
      <c r="F109" s="776"/>
      <c r="G109" s="776"/>
      <c r="H109" s="776"/>
      <c r="I109" s="776"/>
      <c r="J109" s="776"/>
      <c r="K109" s="776"/>
      <c r="L109" s="776"/>
      <c r="M109" s="776"/>
      <c r="N109" s="776"/>
      <c r="O109" s="776"/>
      <c r="P109" s="776"/>
      <c r="Q109" s="776"/>
      <c r="R109" s="776"/>
      <c r="S109" s="776"/>
      <c r="T109" s="776"/>
      <c r="U109" s="776"/>
      <c r="V109" s="776"/>
      <c r="W109" s="776"/>
      <c r="Y109" s="20"/>
    </row>
    <row r="110" spans="2:25" x14ac:dyDescent="0.3">
      <c r="B110" s="19"/>
      <c r="Y110" s="20"/>
    </row>
    <row r="111" spans="2:25" x14ac:dyDescent="0.3">
      <c r="B111" s="19"/>
      <c r="C111" s="42" t="s">
        <v>2361</v>
      </c>
      <c r="Y111" s="20"/>
    </row>
    <row r="112" spans="2:25" x14ac:dyDescent="0.3">
      <c r="B112" s="19"/>
      <c r="C112" s="760"/>
      <c r="D112" s="990"/>
      <c r="E112" s="990"/>
      <c r="F112" s="990"/>
      <c r="G112" s="990"/>
      <c r="H112" s="990"/>
      <c r="I112" s="990"/>
      <c r="J112" s="990"/>
      <c r="K112" s="990"/>
      <c r="L112" s="990"/>
      <c r="M112" s="990"/>
      <c r="N112" s="990"/>
      <c r="O112" s="990"/>
      <c r="P112" s="990"/>
      <c r="Q112" s="990"/>
      <c r="R112" s="990"/>
      <c r="S112" s="990"/>
      <c r="T112" s="990"/>
      <c r="U112" s="990"/>
      <c r="V112" s="990"/>
      <c r="W112" s="990"/>
      <c r="X112" s="991"/>
      <c r="Y112" s="20"/>
    </row>
    <row r="113" spans="2:25" x14ac:dyDescent="0.3">
      <c r="B113" s="19"/>
      <c r="C113" s="992"/>
      <c r="D113" s="993"/>
      <c r="E113" s="993"/>
      <c r="F113" s="993"/>
      <c r="G113" s="993"/>
      <c r="H113" s="993"/>
      <c r="I113" s="993"/>
      <c r="J113" s="993"/>
      <c r="K113" s="993"/>
      <c r="L113" s="993"/>
      <c r="M113" s="993"/>
      <c r="N113" s="993"/>
      <c r="O113" s="993"/>
      <c r="P113" s="993"/>
      <c r="Q113" s="993"/>
      <c r="R113" s="993"/>
      <c r="S113" s="993"/>
      <c r="T113" s="993"/>
      <c r="U113" s="993"/>
      <c r="V113" s="993"/>
      <c r="W113" s="993"/>
      <c r="X113" s="994"/>
      <c r="Y113" s="20"/>
    </row>
    <row r="114" spans="2:25" x14ac:dyDescent="0.3">
      <c r="B114" s="19"/>
      <c r="C114" s="992"/>
      <c r="D114" s="993"/>
      <c r="E114" s="993"/>
      <c r="F114" s="993"/>
      <c r="G114" s="993"/>
      <c r="H114" s="993"/>
      <c r="I114" s="993"/>
      <c r="J114" s="993"/>
      <c r="K114" s="993"/>
      <c r="L114" s="993"/>
      <c r="M114" s="993"/>
      <c r="N114" s="993"/>
      <c r="O114" s="993"/>
      <c r="P114" s="993"/>
      <c r="Q114" s="993"/>
      <c r="R114" s="993"/>
      <c r="S114" s="993"/>
      <c r="T114" s="993"/>
      <c r="U114" s="993"/>
      <c r="V114" s="993"/>
      <c r="W114" s="993"/>
      <c r="X114" s="994"/>
      <c r="Y114" s="20"/>
    </row>
    <row r="115" spans="2:25" x14ac:dyDescent="0.3">
      <c r="B115" s="19"/>
      <c r="C115" s="992"/>
      <c r="D115" s="993"/>
      <c r="E115" s="993"/>
      <c r="F115" s="993"/>
      <c r="G115" s="993"/>
      <c r="H115" s="993"/>
      <c r="I115" s="993"/>
      <c r="J115" s="993"/>
      <c r="K115" s="993"/>
      <c r="L115" s="993"/>
      <c r="M115" s="993"/>
      <c r="N115" s="993"/>
      <c r="O115" s="993"/>
      <c r="P115" s="993"/>
      <c r="Q115" s="993"/>
      <c r="R115" s="993"/>
      <c r="S115" s="993"/>
      <c r="T115" s="993"/>
      <c r="U115" s="993"/>
      <c r="V115" s="993"/>
      <c r="W115" s="993"/>
      <c r="X115" s="994"/>
      <c r="Y115" s="20"/>
    </row>
    <row r="116" spans="2:25" x14ac:dyDescent="0.3">
      <c r="B116" s="19"/>
      <c r="C116" s="995"/>
      <c r="D116" s="996"/>
      <c r="E116" s="996"/>
      <c r="F116" s="996"/>
      <c r="G116" s="996"/>
      <c r="H116" s="996"/>
      <c r="I116" s="996"/>
      <c r="J116" s="996"/>
      <c r="K116" s="996"/>
      <c r="L116" s="996"/>
      <c r="M116" s="996"/>
      <c r="N116" s="996"/>
      <c r="O116" s="996"/>
      <c r="P116" s="996"/>
      <c r="Q116" s="996"/>
      <c r="R116" s="996"/>
      <c r="S116" s="996"/>
      <c r="T116" s="996"/>
      <c r="U116" s="996"/>
      <c r="V116" s="996"/>
      <c r="W116" s="996"/>
      <c r="X116" s="997"/>
      <c r="Y116" s="20"/>
    </row>
    <row r="117" spans="2:25" x14ac:dyDescent="0.3">
      <c r="B117" s="19"/>
      <c r="Y117" s="20"/>
    </row>
    <row r="118" spans="2:25" x14ac:dyDescent="0.3">
      <c r="B118" s="19"/>
      <c r="C118" s="108" t="s">
        <v>2551</v>
      </c>
      <c r="D118" s="104"/>
      <c r="E118" s="104"/>
      <c r="F118" s="104"/>
      <c r="G118" s="104"/>
      <c r="H118" s="104"/>
      <c r="I118" s="105"/>
      <c r="J118" s="833"/>
      <c r="K118" s="834"/>
      <c r="L118" s="65" t="s">
        <v>248</v>
      </c>
      <c r="N118" s="141" t="str">
        <f>IF(J118&gt;J123,"Attention : surface saisie &gt; surface irriguée","")</f>
        <v/>
      </c>
      <c r="Y118" s="20"/>
    </row>
    <row r="119" spans="2:25" x14ac:dyDescent="0.3">
      <c r="B119" s="19"/>
      <c r="Y119" s="20"/>
    </row>
    <row r="120" spans="2:25" x14ac:dyDescent="0.3">
      <c r="B120" s="19"/>
      <c r="Y120" s="20"/>
    </row>
    <row r="121" spans="2:25" x14ac:dyDescent="0.3">
      <c r="B121" s="19"/>
      <c r="C121" s="42"/>
      <c r="Y121" s="20"/>
    </row>
    <row r="122" spans="2:25" x14ac:dyDescent="0.3">
      <c r="B122" s="19"/>
      <c r="L122" s="678"/>
      <c r="M122" s="678"/>
      <c r="Y122" s="20"/>
    </row>
    <row r="123" spans="2:25" x14ac:dyDescent="0.3">
      <c r="B123" s="19"/>
      <c r="D123" s="75" t="s">
        <v>863</v>
      </c>
      <c r="E123" s="75"/>
      <c r="F123" s="75"/>
      <c r="G123" s="75"/>
      <c r="H123" s="75"/>
      <c r="I123" s="100"/>
      <c r="J123" s="840">
        <f>K13</f>
        <v>0</v>
      </c>
      <c r="K123" s="841"/>
      <c r="L123" s="678" t="s">
        <v>3204</v>
      </c>
      <c r="M123" s="678"/>
      <c r="V123" s="680" t="s">
        <v>3205</v>
      </c>
      <c r="W123" s="680"/>
      <c r="X123" s="680"/>
      <c r="Y123" s="681"/>
    </row>
    <row r="124" spans="2:25" x14ac:dyDescent="0.3">
      <c r="B124" s="19"/>
      <c r="D124" s="76" t="s">
        <v>369</v>
      </c>
      <c r="E124" s="76"/>
      <c r="F124" s="76"/>
      <c r="G124" s="76"/>
      <c r="H124" s="76"/>
      <c r="I124" s="101"/>
      <c r="J124" s="702">
        <f>IFERROR(J118/J123,0)</f>
        <v>0</v>
      </c>
      <c r="K124" s="703"/>
      <c r="L124" s="688">
        <f>IF(cIrriguante="Non",0,IF(AND(J124&gt;=0.25,J124&lt;0.5),2,IF(AND(J124&gt;=0.5,J124&lt;0.75),4,IF(J124&gt;=0.75,6,0))))</f>
        <v>0</v>
      </c>
      <c r="M124" s="689"/>
      <c r="W124" s="694">
        <v>6</v>
      </c>
      <c r="X124" s="695"/>
      <c r="Y124" s="20"/>
    </row>
    <row r="125" spans="2:25" x14ac:dyDescent="0.3">
      <c r="B125" s="19"/>
      <c r="Y125" s="20"/>
    </row>
    <row r="126" spans="2:25" ht="15" thickBot="1" x14ac:dyDescent="0.35">
      <c r="B126" s="22"/>
      <c r="C126" s="23"/>
      <c r="D126" s="23"/>
      <c r="E126" s="23"/>
      <c r="F126" s="23"/>
      <c r="G126" s="23"/>
      <c r="H126" s="23"/>
      <c r="I126" s="23"/>
      <c r="J126" s="23"/>
      <c r="K126" s="23"/>
      <c r="L126" s="23"/>
      <c r="M126" s="23"/>
      <c r="N126" s="23"/>
      <c r="O126" s="23"/>
      <c r="P126" s="23"/>
      <c r="Q126" s="23"/>
      <c r="R126" s="23"/>
      <c r="S126" s="23"/>
      <c r="T126" s="23"/>
      <c r="U126" s="23"/>
      <c r="V126" s="23"/>
      <c r="W126" s="23"/>
      <c r="X126" s="23"/>
      <c r="Y126" s="24"/>
    </row>
    <row r="129" spans="2:25" ht="15" thickBot="1" x14ac:dyDescent="0.35"/>
    <row r="130" spans="2:25" x14ac:dyDescent="0.3">
      <c r="B130" s="16"/>
      <c r="C130" s="17"/>
      <c r="D130" s="17"/>
      <c r="E130" s="17"/>
      <c r="F130" s="17"/>
      <c r="G130" s="17"/>
      <c r="H130" s="17"/>
      <c r="I130" s="17"/>
      <c r="J130" s="17"/>
      <c r="K130" s="17"/>
      <c r="L130" s="17"/>
      <c r="M130" s="17"/>
      <c r="N130" s="17"/>
      <c r="O130" s="17"/>
      <c r="P130" s="17"/>
      <c r="Q130" s="17"/>
      <c r="R130" s="17"/>
      <c r="S130" s="17"/>
      <c r="T130" s="17"/>
      <c r="U130" s="17"/>
      <c r="V130" s="17"/>
      <c r="W130" s="17"/>
      <c r="X130" s="17"/>
      <c r="Y130" s="18"/>
    </row>
    <row r="131" spans="2:25" x14ac:dyDescent="0.3">
      <c r="B131" s="19"/>
      <c r="Y131" s="20"/>
    </row>
    <row r="132" spans="2:25" x14ac:dyDescent="0.3">
      <c r="B132" s="19"/>
      <c r="Y132" s="20"/>
    </row>
    <row r="133" spans="2:25" x14ac:dyDescent="0.3">
      <c r="B133" s="19"/>
      <c r="C133" s="108" t="s">
        <v>370</v>
      </c>
      <c r="D133" s="108"/>
      <c r="E133" s="108"/>
      <c r="F133" s="108"/>
      <c r="G133" s="108"/>
      <c r="H133" s="108"/>
      <c r="I133" s="111"/>
      <c r="J133" s="986"/>
      <c r="K133" s="987"/>
      <c r="Y133" s="20"/>
    </row>
    <row r="134" spans="2:25" x14ac:dyDescent="0.3">
      <c r="B134" s="19"/>
      <c r="C134" s="108" t="s">
        <v>2362</v>
      </c>
      <c r="D134" s="108"/>
      <c r="E134" s="108"/>
      <c r="F134" s="108"/>
      <c r="G134" s="108"/>
      <c r="H134" s="108"/>
      <c r="I134" s="111"/>
      <c r="J134" s="998"/>
      <c r="K134" s="999"/>
      <c r="L134" s="999"/>
      <c r="M134" s="999"/>
      <c r="N134" s="1000"/>
      <c r="Y134" s="20"/>
    </row>
    <row r="135" spans="2:25" x14ac:dyDescent="0.3">
      <c r="B135" s="19"/>
      <c r="Y135" s="20"/>
    </row>
    <row r="136" spans="2:25" x14ac:dyDescent="0.3">
      <c r="B136" s="19"/>
      <c r="C136" s="42"/>
      <c r="Y136" s="20"/>
    </row>
    <row r="137" spans="2:25" x14ac:dyDescent="0.3">
      <c r="B137" s="19"/>
      <c r="D137" s="678"/>
      <c r="E137" s="678"/>
      <c r="Y137" s="20"/>
    </row>
    <row r="138" spans="2:25" x14ac:dyDescent="0.3">
      <c r="B138" s="19"/>
      <c r="D138" s="678" t="s">
        <v>3204</v>
      </c>
      <c r="E138" s="678"/>
      <c r="V138" s="680" t="s">
        <v>3205</v>
      </c>
      <c r="W138" s="680"/>
      <c r="X138" s="680"/>
      <c r="Y138" s="681"/>
    </row>
    <row r="139" spans="2:25" x14ac:dyDescent="0.3">
      <c r="B139" s="19"/>
      <c r="D139" s="858">
        <f>IF(cIrriguante="Non",0,IF(J133="Oui",2,0))</f>
        <v>0</v>
      </c>
      <c r="E139" s="859"/>
      <c r="W139" s="694">
        <v>2</v>
      </c>
      <c r="X139" s="695"/>
      <c r="Y139" s="20"/>
    </row>
    <row r="140" spans="2:25" x14ac:dyDescent="0.3">
      <c r="B140" s="19"/>
      <c r="Y140" s="20"/>
    </row>
    <row r="141" spans="2:25" x14ac:dyDescent="0.3">
      <c r="B141" s="19"/>
      <c r="D141" s="70" t="s">
        <v>2472</v>
      </c>
      <c r="Y141" s="20"/>
    </row>
    <row r="142" spans="2:25" x14ac:dyDescent="0.3">
      <c r="B142" s="19"/>
      <c r="D142" s="652"/>
      <c r="E142" s="653"/>
      <c r="F142" s="653"/>
      <c r="G142" s="653"/>
      <c r="H142" s="653"/>
      <c r="I142" s="653"/>
      <c r="J142" s="653"/>
      <c r="K142" s="653"/>
      <c r="L142" s="653"/>
      <c r="M142" s="653"/>
      <c r="N142" s="653"/>
      <c r="O142" s="653"/>
      <c r="P142" s="653"/>
      <c r="Q142" s="653"/>
      <c r="R142" s="653"/>
      <c r="S142" s="653"/>
      <c r="T142" s="653"/>
      <c r="U142" s="653"/>
      <c r="V142" s="653"/>
      <c r="W142" s="653"/>
      <c r="X142" s="654"/>
      <c r="Y142" s="20"/>
    </row>
    <row r="143" spans="2:25" x14ac:dyDescent="0.3">
      <c r="B143" s="19"/>
      <c r="D143" s="655"/>
      <c r="E143" s="656"/>
      <c r="F143" s="656"/>
      <c r="G143" s="656"/>
      <c r="H143" s="656"/>
      <c r="I143" s="656"/>
      <c r="J143" s="656"/>
      <c r="K143" s="656"/>
      <c r="L143" s="656"/>
      <c r="M143" s="656"/>
      <c r="N143" s="656"/>
      <c r="O143" s="656"/>
      <c r="P143" s="656"/>
      <c r="Q143" s="656"/>
      <c r="R143" s="656"/>
      <c r="S143" s="656"/>
      <c r="T143" s="656"/>
      <c r="U143" s="656"/>
      <c r="V143" s="656"/>
      <c r="W143" s="656"/>
      <c r="X143" s="657"/>
      <c r="Y143" s="20"/>
    </row>
    <row r="144" spans="2:25" x14ac:dyDescent="0.3">
      <c r="B144" s="19"/>
      <c r="D144" s="655"/>
      <c r="E144" s="656"/>
      <c r="F144" s="656"/>
      <c r="G144" s="656"/>
      <c r="H144" s="656"/>
      <c r="I144" s="656"/>
      <c r="J144" s="656"/>
      <c r="K144" s="656"/>
      <c r="L144" s="656"/>
      <c r="M144" s="656"/>
      <c r="N144" s="656"/>
      <c r="O144" s="656"/>
      <c r="P144" s="656"/>
      <c r="Q144" s="656"/>
      <c r="R144" s="656"/>
      <c r="S144" s="656"/>
      <c r="T144" s="656"/>
      <c r="U144" s="656"/>
      <c r="V144" s="656"/>
      <c r="W144" s="656"/>
      <c r="X144" s="657"/>
      <c r="Y144" s="20"/>
    </row>
    <row r="145" spans="2:25" x14ac:dyDescent="0.3">
      <c r="B145" s="19"/>
      <c r="D145" s="655"/>
      <c r="E145" s="656"/>
      <c r="F145" s="656"/>
      <c r="G145" s="656"/>
      <c r="H145" s="656"/>
      <c r="I145" s="656"/>
      <c r="J145" s="656"/>
      <c r="K145" s="656"/>
      <c r="L145" s="656"/>
      <c r="M145" s="656"/>
      <c r="N145" s="656"/>
      <c r="O145" s="656"/>
      <c r="P145" s="656"/>
      <c r="Q145" s="656"/>
      <c r="R145" s="656"/>
      <c r="S145" s="656"/>
      <c r="T145" s="656"/>
      <c r="U145" s="656"/>
      <c r="V145" s="656"/>
      <c r="W145" s="656"/>
      <c r="X145" s="657"/>
      <c r="Y145" s="20"/>
    </row>
    <row r="146" spans="2:25" x14ac:dyDescent="0.3">
      <c r="B146" s="19"/>
      <c r="D146" s="658"/>
      <c r="E146" s="659"/>
      <c r="F146" s="659"/>
      <c r="G146" s="659"/>
      <c r="H146" s="659"/>
      <c r="I146" s="659"/>
      <c r="J146" s="659"/>
      <c r="K146" s="659"/>
      <c r="L146" s="659"/>
      <c r="M146" s="659"/>
      <c r="N146" s="659"/>
      <c r="O146" s="659"/>
      <c r="P146" s="659"/>
      <c r="Q146" s="659"/>
      <c r="R146" s="659"/>
      <c r="S146" s="659"/>
      <c r="T146" s="659"/>
      <c r="U146" s="659"/>
      <c r="V146" s="659"/>
      <c r="W146" s="659"/>
      <c r="X146" s="660"/>
      <c r="Y146" s="20"/>
    </row>
    <row r="147" spans="2:25" ht="15" thickBot="1" x14ac:dyDescent="0.35">
      <c r="B147" s="22"/>
      <c r="C147" s="23"/>
      <c r="D147" s="23"/>
      <c r="E147" s="23"/>
      <c r="F147" s="23"/>
      <c r="G147" s="23"/>
      <c r="H147" s="23"/>
      <c r="I147" s="23"/>
      <c r="J147" s="23"/>
      <c r="K147" s="23"/>
      <c r="L147" s="23"/>
      <c r="M147" s="23"/>
      <c r="N147" s="23"/>
      <c r="O147" s="23"/>
      <c r="P147" s="23"/>
      <c r="Q147" s="23"/>
      <c r="R147" s="23"/>
      <c r="S147" s="23"/>
      <c r="T147" s="23"/>
      <c r="U147" s="23"/>
      <c r="V147" s="23"/>
      <c r="W147" s="23"/>
      <c r="X147" s="23"/>
      <c r="Y147" s="24"/>
    </row>
    <row r="150" spans="2:25" ht="15" thickBot="1" x14ac:dyDescent="0.35"/>
    <row r="151" spans="2:25" x14ac:dyDescent="0.3">
      <c r="B151" s="16"/>
      <c r="C151" s="17"/>
      <c r="D151" s="17"/>
      <c r="E151" s="17"/>
      <c r="F151" s="17"/>
      <c r="G151" s="17"/>
      <c r="H151" s="17"/>
      <c r="I151" s="17"/>
      <c r="J151" s="17"/>
      <c r="K151" s="17"/>
      <c r="L151" s="17"/>
      <c r="M151" s="17"/>
      <c r="N151" s="17"/>
      <c r="O151" s="17"/>
      <c r="P151" s="17"/>
      <c r="Q151" s="17"/>
      <c r="R151" s="17"/>
      <c r="S151" s="17"/>
      <c r="T151" s="17"/>
      <c r="U151" s="17"/>
      <c r="V151" s="17"/>
      <c r="W151" s="17"/>
      <c r="X151" s="17"/>
      <c r="Y151" s="18"/>
    </row>
    <row r="152" spans="2:25" x14ac:dyDescent="0.3">
      <c r="B152" s="19"/>
      <c r="Y152" s="20"/>
    </row>
    <row r="153" spans="2:25" x14ac:dyDescent="0.3">
      <c r="B153" s="19"/>
      <c r="Y153" s="20"/>
    </row>
    <row r="154" spans="2:25" x14ac:dyDescent="0.3">
      <c r="B154" s="19"/>
      <c r="C154" s="108" t="s">
        <v>371</v>
      </c>
      <c r="D154" s="47"/>
      <c r="E154" s="47"/>
      <c r="F154" s="47"/>
      <c r="G154" s="47"/>
      <c r="H154" s="47"/>
      <c r="I154" s="47"/>
      <c r="J154" s="47"/>
      <c r="K154" s="43"/>
      <c r="L154" s="833"/>
      <c r="M154" s="834"/>
      <c r="N154" s="65" t="s">
        <v>248</v>
      </c>
      <c r="P154" s="141" t="str">
        <f>IF(L154&gt;L166,"Attention : surface saisie &gt; surface irriguée","")</f>
        <v/>
      </c>
      <c r="Y154" s="20"/>
    </row>
    <row r="155" spans="2:25" x14ac:dyDescent="0.3">
      <c r="B155" s="19"/>
      <c r="Y155" s="20"/>
    </row>
    <row r="156" spans="2:25" x14ac:dyDescent="0.3">
      <c r="B156" s="19"/>
      <c r="C156" s="42" t="s">
        <v>2491</v>
      </c>
      <c r="Y156" s="20"/>
    </row>
    <row r="157" spans="2:25" x14ac:dyDescent="0.3">
      <c r="B157" s="19"/>
      <c r="C157" s="760"/>
      <c r="D157" s="990"/>
      <c r="E157" s="990"/>
      <c r="F157" s="990"/>
      <c r="G157" s="990"/>
      <c r="H157" s="990"/>
      <c r="I157" s="990"/>
      <c r="J157" s="990"/>
      <c r="K157" s="990"/>
      <c r="L157" s="990"/>
      <c r="M157" s="990"/>
      <c r="N157" s="990"/>
      <c r="O157" s="990"/>
      <c r="P157" s="990"/>
      <c r="Q157" s="990"/>
      <c r="R157" s="990"/>
      <c r="S157" s="990"/>
      <c r="T157" s="990"/>
      <c r="U157" s="990"/>
      <c r="V157" s="990"/>
      <c r="W157" s="991"/>
      <c r="Y157" s="20"/>
    </row>
    <row r="158" spans="2:25" x14ac:dyDescent="0.3">
      <c r="B158" s="19"/>
      <c r="C158" s="992"/>
      <c r="D158" s="993"/>
      <c r="E158" s="993"/>
      <c r="F158" s="993"/>
      <c r="G158" s="993"/>
      <c r="H158" s="993"/>
      <c r="I158" s="993"/>
      <c r="J158" s="993"/>
      <c r="K158" s="993"/>
      <c r="L158" s="993"/>
      <c r="M158" s="993"/>
      <c r="N158" s="993"/>
      <c r="O158" s="993"/>
      <c r="P158" s="993"/>
      <c r="Q158" s="993"/>
      <c r="R158" s="993"/>
      <c r="S158" s="993"/>
      <c r="T158" s="993"/>
      <c r="U158" s="993"/>
      <c r="V158" s="993"/>
      <c r="W158" s="994"/>
      <c r="Y158" s="20"/>
    </row>
    <row r="159" spans="2:25" x14ac:dyDescent="0.3">
      <c r="B159" s="19"/>
      <c r="C159" s="992"/>
      <c r="D159" s="993"/>
      <c r="E159" s="993"/>
      <c r="F159" s="993"/>
      <c r="G159" s="993"/>
      <c r="H159" s="993"/>
      <c r="I159" s="993"/>
      <c r="J159" s="993"/>
      <c r="K159" s="993"/>
      <c r="L159" s="993"/>
      <c r="M159" s="993"/>
      <c r="N159" s="993"/>
      <c r="O159" s="993"/>
      <c r="P159" s="993"/>
      <c r="Q159" s="993"/>
      <c r="R159" s="993"/>
      <c r="S159" s="993"/>
      <c r="T159" s="993"/>
      <c r="U159" s="993"/>
      <c r="V159" s="993"/>
      <c r="W159" s="994"/>
      <c r="Y159" s="20"/>
    </row>
    <row r="160" spans="2:25" x14ac:dyDescent="0.3">
      <c r="B160" s="19"/>
      <c r="C160" s="992"/>
      <c r="D160" s="993"/>
      <c r="E160" s="993"/>
      <c r="F160" s="993"/>
      <c r="G160" s="993"/>
      <c r="H160" s="993"/>
      <c r="I160" s="993"/>
      <c r="J160" s="993"/>
      <c r="K160" s="993"/>
      <c r="L160" s="993"/>
      <c r="M160" s="993"/>
      <c r="N160" s="993"/>
      <c r="O160" s="993"/>
      <c r="P160" s="993"/>
      <c r="Q160" s="993"/>
      <c r="R160" s="993"/>
      <c r="S160" s="993"/>
      <c r="T160" s="993"/>
      <c r="U160" s="993"/>
      <c r="V160" s="993"/>
      <c r="W160" s="994"/>
      <c r="Y160" s="20"/>
    </row>
    <row r="161" spans="2:25" x14ac:dyDescent="0.3">
      <c r="B161" s="19"/>
      <c r="C161" s="995"/>
      <c r="D161" s="996"/>
      <c r="E161" s="996"/>
      <c r="F161" s="996"/>
      <c r="G161" s="996"/>
      <c r="H161" s="996"/>
      <c r="I161" s="996"/>
      <c r="J161" s="996"/>
      <c r="K161" s="996"/>
      <c r="L161" s="996"/>
      <c r="M161" s="996"/>
      <c r="N161" s="996"/>
      <c r="O161" s="996"/>
      <c r="P161" s="996"/>
      <c r="Q161" s="996"/>
      <c r="R161" s="996"/>
      <c r="S161" s="996"/>
      <c r="T161" s="996"/>
      <c r="U161" s="996"/>
      <c r="V161" s="996"/>
      <c r="W161" s="997"/>
      <c r="Y161" s="20"/>
    </row>
    <row r="162" spans="2:25" x14ac:dyDescent="0.3">
      <c r="B162" s="19"/>
      <c r="Y162" s="20"/>
    </row>
    <row r="163" spans="2:25" x14ac:dyDescent="0.3">
      <c r="B163" s="19"/>
      <c r="Y163" s="20"/>
    </row>
    <row r="164" spans="2:25" x14ac:dyDescent="0.3">
      <c r="B164" s="19"/>
      <c r="C164" s="42"/>
      <c r="N164" s="678"/>
      <c r="O164" s="678"/>
      <c r="Y164" s="20"/>
    </row>
    <row r="165" spans="2:25" x14ac:dyDescent="0.3">
      <c r="B165" s="19"/>
      <c r="Y165" s="20"/>
    </row>
    <row r="166" spans="2:25" x14ac:dyDescent="0.3">
      <c r="B166" s="19"/>
      <c r="D166" s="75" t="s">
        <v>863</v>
      </c>
      <c r="E166" s="75"/>
      <c r="F166" s="75"/>
      <c r="G166" s="75"/>
      <c r="H166" s="75"/>
      <c r="I166" s="75"/>
      <c r="J166" s="75"/>
      <c r="K166" s="100"/>
      <c r="L166" s="840">
        <f>K13</f>
        <v>0</v>
      </c>
      <c r="M166" s="841"/>
      <c r="N166" s="678" t="s">
        <v>3204</v>
      </c>
      <c r="O166" s="678"/>
      <c r="V166" s="680" t="s">
        <v>3205</v>
      </c>
      <c r="W166" s="680"/>
      <c r="X166" s="680"/>
      <c r="Y166" s="681"/>
    </row>
    <row r="167" spans="2:25" x14ac:dyDescent="0.3">
      <c r="B167" s="19"/>
      <c r="D167" s="76" t="s">
        <v>372</v>
      </c>
      <c r="E167" s="76"/>
      <c r="F167" s="76"/>
      <c r="G167" s="76"/>
      <c r="H167" s="76"/>
      <c r="I167" s="76"/>
      <c r="J167" s="76"/>
      <c r="K167" s="101"/>
      <c r="L167" s="837">
        <f>IFERROR(L154/L166,0)</f>
        <v>0</v>
      </c>
      <c r="M167" s="838"/>
      <c r="N167" s="858">
        <f>IF(cIrriguante="Non",0,IF(AND(L167&gt;=0.25,L167&lt;0.5),2,IF(AND(L167&gt;=0.5,L167&lt;0.75),4,IF(L167&gt;=0.75,6,0))))</f>
        <v>0</v>
      </c>
      <c r="O167" s="859"/>
      <c r="W167" s="694">
        <v>6</v>
      </c>
      <c r="X167" s="695"/>
      <c r="Y167" s="20"/>
    </row>
    <row r="168" spans="2:25" x14ac:dyDescent="0.3">
      <c r="B168" s="19"/>
      <c r="Y168" s="20"/>
    </row>
    <row r="169" spans="2:25" ht="15" thickBot="1" x14ac:dyDescent="0.35">
      <c r="B169" s="22"/>
      <c r="C169" s="23"/>
      <c r="D169" s="23"/>
      <c r="E169" s="23"/>
      <c r="F169" s="23"/>
      <c r="G169" s="23"/>
      <c r="H169" s="23"/>
      <c r="I169" s="23"/>
      <c r="J169" s="23"/>
      <c r="K169" s="23"/>
      <c r="L169" s="23"/>
      <c r="M169" s="23"/>
      <c r="N169" s="23"/>
      <c r="O169" s="23"/>
      <c r="P169" s="23"/>
      <c r="Q169" s="23"/>
      <c r="R169" s="23"/>
      <c r="S169" s="23"/>
      <c r="T169" s="23"/>
      <c r="U169" s="23"/>
      <c r="V169" s="23"/>
      <c r="W169" s="23"/>
      <c r="X169" s="23"/>
      <c r="Y169" s="24"/>
    </row>
    <row r="172" spans="2:25" ht="15" thickBot="1" x14ac:dyDescent="0.35"/>
    <row r="173" spans="2:25" x14ac:dyDescent="0.3">
      <c r="B173" s="16"/>
      <c r="C173" s="17"/>
      <c r="D173" s="17"/>
      <c r="E173" s="17"/>
      <c r="F173" s="17"/>
      <c r="G173" s="17"/>
      <c r="H173" s="17"/>
      <c r="I173" s="17"/>
      <c r="J173" s="17"/>
      <c r="K173" s="17"/>
      <c r="L173" s="17"/>
      <c r="M173" s="17"/>
      <c r="N173" s="17"/>
      <c r="O173" s="17"/>
      <c r="P173" s="17"/>
      <c r="Q173" s="17"/>
      <c r="R173" s="17"/>
      <c r="S173" s="17"/>
      <c r="T173" s="17"/>
      <c r="U173" s="17"/>
      <c r="V173" s="17"/>
      <c r="W173" s="17"/>
      <c r="X173" s="17"/>
      <c r="Y173" s="18"/>
    </row>
    <row r="174" spans="2:25" x14ac:dyDescent="0.3">
      <c r="B174" s="19"/>
      <c r="Y174" s="20"/>
    </row>
    <row r="175" spans="2:25" x14ac:dyDescent="0.3">
      <c r="B175" s="19"/>
      <c r="Y175" s="20"/>
    </row>
    <row r="176" spans="2:25" x14ac:dyDescent="0.3">
      <c r="B176" s="19"/>
      <c r="C176" s="42" t="s">
        <v>344</v>
      </c>
      <c r="M176" s="65"/>
      <c r="Y176" s="20"/>
    </row>
    <row r="177" spans="2:29" x14ac:dyDescent="0.3">
      <c r="B177" s="19"/>
      <c r="D177" s="47" t="s">
        <v>345</v>
      </c>
      <c r="E177" s="47"/>
      <c r="F177" s="47"/>
      <c r="G177" s="47"/>
      <c r="H177" s="47"/>
      <c r="I177" s="47"/>
      <c r="J177" s="43"/>
      <c r="K177" s="919"/>
      <c r="L177" s="920"/>
      <c r="M177" s="65" t="s">
        <v>338</v>
      </c>
      <c r="Y177" s="20"/>
    </row>
    <row r="178" spans="2:29" x14ac:dyDescent="0.3">
      <c r="B178" s="19"/>
      <c r="D178" s="48" t="s">
        <v>375</v>
      </c>
      <c r="E178" s="48"/>
      <c r="F178" s="48"/>
      <c r="G178" s="48"/>
      <c r="H178" s="48"/>
      <c r="I178" s="48"/>
      <c r="J178" s="44"/>
      <c r="K178" s="919"/>
      <c r="L178" s="920"/>
      <c r="M178" s="65" t="s">
        <v>338</v>
      </c>
      <c r="Y178" s="20"/>
    </row>
    <row r="179" spans="2:29" x14ac:dyDescent="0.3">
      <c r="B179" s="19"/>
      <c r="K179" s="36"/>
      <c r="L179" s="36"/>
      <c r="M179" s="65"/>
      <c r="Y179" s="20"/>
    </row>
    <row r="180" spans="2:29" x14ac:dyDescent="0.3">
      <c r="B180" s="19"/>
      <c r="K180" s="36"/>
      <c r="L180" s="36"/>
      <c r="M180" s="65"/>
      <c r="Y180" s="20"/>
    </row>
    <row r="181" spans="2:29" x14ac:dyDescent="0.3">
      <c r="B181" s="19"/>
      <c r="C181" s="985" t="s">
        <v>2386</v>
      </c>
      <c r="D181" s="985"/>
      <c r="E181" s="985"/>
      <c r="F181" s="985"/>
      <c r="G181" s="985"/>
      <c r="H181" s="985"/>
      <c r="I181" s="985"/>
      <c r="J181" s="985"/>
      <c r="K181" s="985"/>
      <c r="L181" s="985"/>
      <c r="M181" s="985"/>
      <c r="N181" s="985"/>
      <c r="O181" s="985"/>
      <c r="P181" s="985"/>
      <c r="Q181" s="985"/>
      <c r="R181" s="985"/>
      <c r="S181" s="985"/>
      <c r="T181" s="985"/>
      <c r="U181" s="985"/>
      <c r="V181" s="985"/>
      <c r="W181" s="985"/>
      <c r="X181" s="985"/>
      <c r="Y181" s="20"/>
    </row>
    <row r="182" spans="2:29" x14ac:dyDescent="0.3">
      <c r="B182" s="19"/>
      <c r="C182" s="985"/>
      <c r="D182" s="985"/>
      <c r="E182" s="985"/>
      <c r="F182" s="985"/>
      <c r="G182" s="985"/>
      <c r="H182" s="985"/>
      <c r="I182" s="985"/>
      <c r="J182" s="985"/>
      <c r="K182" s="985"/>
      <c r="L182" s="985"/>
      <c r="M182" s="985"/>
      <c r="N182" s="985"/>
      <c r="O182" s="985"/>
      <c r="P182" s="985"/>
      <c r="Q182" s="985"/>
      <c r="R182" s="985"/>
      <c r="S182" s="985"/>
      <c r="T182" s="985"/>
      <c r="U182" s="985"/>
      <c r="V182" s="985"/>
      <c r="W182" s="985"/>
      <c r="X182" s="985"/>
      <c r="Y182" s="20"/>
    </row>
    <row r="183" spans="2:29" x14ac:dyDescent="0.3">
      <c r="B183" s="19"/>
      <c r="C183" s="776" t="s">
        <v>2363</v>
      </c>
      <c r="D183" s="776"/>
      <c r="E183" s="776"/>
      <c r="F183" s="776"/>
      <c r="G183" s="776"/>
      <c r="H183" s="776"/>
      <c r="I183" s="776"/>
      <c r="J183" s="776"/>
      <c r="K183" s="776"/>
      <c r="L183" s="776"/>
      <c r="M183" s="776"/>
      <c r="N183" s="776"/>
      <c r="O183" s="776"/>
      <c r="P183" s="776"/>
      <c r="Q183" s="776"/>
      <c r="R183" s="776"/>
      <c r="S183" s="776"/>
      <c r="T183" s="776"/>
      <c r="U183" s="776"/>
      <c r="V183" s="776"/>
      <c r="W183" s="776"/>
      <c r="X183" s="776"/>
      <c r="Y183" s="20"/>
    </row>
    <row r="184" spans="2:29" x14ac:dyDescent="0.3">
      <c r="B184" s="19"/>
      <c r="C184" s="776"/>
      <c r="D184" s="776"/>
      <c r="E184" s="776"/>
      <c r="F184" s="776"/>
      <c r="G184" s="776"/>
      <c r="H184" s="776"/>
      <c r="I184" s="776"/>
      <c r="J184" s="776"/>
      <c r="K184" s="776"/>
      <c r="L184" s="776"/>
      <c r="M184" s="776"/>
      <c r="N184" s="776"/>
      <c r="O184" s="776"/>
      <c r="P184" s="776"/>
      <c r="Q184" s="776"/>
      <c r="R184" s="776"/>
      <c r="S184" s="776"/>
      <c r="T184" s="776"/>
      <c r="U184" s="776"/>
      <c r="V184" s="776"/>
      <c r="W184" s="776"/>
      <c r="X184" s="776"/>
      <c r="Y184" s="20"/>
    </row>
    <row r="185" spans="2:29" x14ac:dyDescent="0.3">
      <c r="B185" s="19"/>
      <c r="Y185" s="20"/>
    </row>
    <row r="186" spans="2:29" x14ac:dyDescent="0.3">
      <c r="B186" s="19"/>
      <c r="Y186" s="20"/>
    </row>
    <row r="187" spans="2:29" x14ac:dyDescent="0.3">
      <c r="B187" s="19"/>
      <c r="C187" s="42"/>
      <c r="M187" s="678"/>
      <c r="N187" s="678"/>
      <c r="Y187" s="20"/>
    </row>
    <row r="188" spans="2:29" x14ac:dyDescent="0.3">
      <c r="B188" s="19"/>
      <c r="Y188" s="20"/>
    </row>
    <row r="189" spans="2:29" x14ac:dyDescent="0.3">
      <c r="B189" s="19"/>
      <c r="D189" s="75" t="s">
        <v>373</v>
      </c>
      <c r="E189" s="75"/>
      <c r="F189" s="75"/>
      <c r="G189" s="75"/>
      <c r="H189" s="75"/>
      <c r="I189" s="75"/>
      <c r="J189" s="100"/>
      <c r="K189" s="898">
        <f>SUM(K177:L178)</f>
        <v>0</v>
      </c>
      <c r="L189" s="899"/>
      <c r="M189" s="678" t="s">
        <v>3204</v>
      </c>
      <c r="N189" s="678"/>
      <c r="P189" s="150"/>
      <c r="V189" s="680" t="s">
        <v>3205</v>
      </c>
      <c r="W189" s="680"/>
      <c r="X189" s="680"/>
      <c r="Y189" s="681"/>
    </row>
    <row r="190" spans="2:29" x14ac:dyDescent="0.3">
      <c r="B190" s="19"/>
      <c r="D190" s="76" t="s">
        <v>374</v>
      </c>
      <c r="E190" s="76"/>
      <c r="F190" s="76"/>
      <c r="G190" s="76"/>
      <c r="H190" s="76"/>
      <c r="I190" s="76"/>
      <c r="J190" s="101"/>
      <c r="K190" s="988">
        <f>IFERROR(K178/K189,0)</f>
        <v>0</v>
      </c>
      <c r="L190" s="989"/>
      <c r="M190" s="858">
        <f>IF(cIrriguante="Non",0,IF(OR(K177="",K178=""),0,AC190))</f>
        <v>0</v>
      </c>
      <c r="N190" s="859"/>
      <c r="W190" s="694">
        <v>5</v>
      </c>
      <c r="X190" s="695"/>
      <c r="Y190" s="20"/>
      <c r="AC190">
        <f>IF(K190&lt;0.2,5,IF(AND(K190&gt;=0.2,K190&lt;0.4),4,IF(AND(K190&gt;=0.4,K190&lt;0.6),3,IF(AND(K190&gt;=0.6,K190&lt;0.8),2,IF(AND(K190&gt;=0.8,K190&lt;0.9),1,0)))))</f>
        <v>5</v>
      </c>
    </row>
    <row r="191" spans="2:29" x14ac:dyDescent="0.3">
      <c r="B191" s="19"/>
      <c r="Y191" s="20"/>
    </row>
    <row r="192" spans="2:29" x14ac:dyDescent="0.3">
      <c r="B192" s="19"/>
      <c r="Y192" s="20"/>
    </row>
    <row r="193" spans="2:25" x14ac:dyDescent="0.3">
      <c r="B193" s="19"/>
      <c r="D193" s="70" t="s">
        <v>2472</v>
      </c>
      <c r="Y193" s="20"/>
    </row>
    <row r="194" spans="2:25" x14ac:dyDescent="0.3">
      <c r="B194" s="19"/>
      <c r="D194" s="652"/>
      <c r="E194" s="653"/>
      <c r="F194" s="653"/>
      <c r="G194" s="653"/>
      <c r="H194" s="653"/>
      <c r="I194" s="653"/>
      <c r="J194" s="653"/>
      <c r="K194" s="653"/>
      <c r="L194" s="653"/>
      <c r="M194" s="653"/>
      <c r="N194" s="653"/>
      <c r="O194" s="653"/>
      <c r="P194" s="653"/>
      <c r="Q194" s="653"/>
      <c r="R194" s="653"/>
      <c r="S194" s="653"/>
      <c r="T194" s="653"/>
      <c r="U194" s="653"/>
      <c r="V194" s="653"/>
      <c r="W194" s="653"/>
      <c r="X194" s="654"/>
      <c r="Y194" s="20"/>
    </row>
    <row r="195" spans="2:25" x14ac:dyDescent="0.3">
      <c r="B195" s="19"/>
      <c r="D195" s="655"/>
      <c r="E195" s="656"/>
      <c r="F195" s="656"/>
      <c r="G195" s="656"/>
      <c r="H195" s="656"/>
      <c r="I195" s="656"/>
      <c r="J195" s="656"/>
      <c r="K195" s="656"/>
      <c r="L195" s="656"/>
      <c r="M195" s="656"/>
      <c r="N195" s="656"/>
      <c r="O195" s="656"/>
      <c r="P195" s="656"/>
      <c r="Q195" s="656"/>
      <c r="R195" s="656"/>
      <c r="S195" s="656"/>
      <c r="T195" s="656"/>
      <c r="U195" s="656"/>
      <c r="V195" s="656"/>
      <c r="W195" s="656"/>
      <c r="X195" s="657"/>
      <c r="Y195" s="20"/>
    </row>
    <row r="196" spans="2:25" x14ac:dyDescent="0.3">
      <c r="B196" s="19"/>
      <c r="D196" s="655"/>
      <c r="E196" s="656"/>
      <c r="F196" s="656"/>
      <c r="G196" s="656"/>
      <c r="H196" s="656"/>
      <c r="I196" s="656"/>
      <c r="J196" s="656"/>
      <c r="K196" s="656"/>
      <c r="L196" s="656"/>
      <c r="M196" s="656"/>
      <c r="N196" s="656"/>
      <c r="O196" s="656"/>
      <c r="P196" s="656"/>
      <c r="Q196" s="656"/>
      <c r="R196" s="656"/>
      <c r="S196" s="656"/>
      <c r="T196" s="656"/>
      <c r="U196" s="656"/>
      <c r="V196" s="656"/>
      <c r="W196" s="656"/>
      <c r="X196" s="657"/>
      <c r="Y196" s="20"/>
    </row>
    <row r="197" spans="2:25" x14ac:dyDescent="0.3">
      <c r="B197" s="19"/>
      <c r="D197" s="655"/>
      <c r="E197" s="656"/>
      <c r="F197" s="656"/>
      <c r="G197" s="656"/>
      <c r="H197" s="656"/>
      <c r="I197" s="656"/>
      <c r="J197" s="656"/>
      <c r="K197" s="656"/>
      <c r="L197" s="656"/>
      <c r="M197" s="656"/>
      <c r="N197" s="656"/>
      <c r="O197" s="656"/>
      <c r="P197" s="656"/>
      <c r="Q197" s="656"/>
      <c r="R197" s="656"/>
      <c r="S197" s="656"/>
      <c r="T197" s="656"/>
      <c r="U197" s="656"/>
      <c r="V197" s="656"/>
      <c r="W197" s="656"/>
      <c r="X197" s="657"/>
      <c r="Y197" s="20"/>
    </row>
    <row r="198" spans="2:25" x14ac:dyDescent="0.3">
      <c r="B198" s="19"/>
      <c r="D198" s="658"/>
      <c r="E198" s="659"/>
      <c r="F198" s="659"/>
      <c r="G198" s="659"/>
      <c r="H198" s="659"/>
      <c r="I198" s="659"/>
      <c r="J198" s="659"/>
      <c r="K198" s="659"/>
      <c r="L198" s="659"/>
      <c r="M198" s="659"/>
      <c r="N198" s="659"/>
      <c r="O198" s="659"/>
      <c r="P198" s="659"/>
      <c r="Q198" s="659"/>
      <c r="R198" s="659"/>
      <c r="S198" s="659"/>
      <c r="T198" s="659"/>
      <c r="U198" s="659"/>
      <c r="V198" s="659"/>
      <c r="W198" s="659"/>
      <c r="X198" s="660"/>
      <c r="Y198" s="20"/>
    </row>
    <row r="199" spans="2:25" x14ac:dyDescent="0.3">
      <c r="B199" s="19"/>
      <c r="Y199" s="20"/>
    </row>
    <row r="200" spans="2:25" ht="15" thickBot="1" x14ac:dyDescent="0.35">
      <c r="B200" s="22"/>
      <c r="C200" s="23"/>
      <c r="D200" s="23"/>
      <c r="E200" s="23"/>
      <c r="F200" s="23"/>
      <c r="G200" s="23"/>
      <c r="H200" s="23"/>
      <c r="I200" s="23"/>
      <c r="J200" s="23"/>
      <c r="K200" s="23"/>
      <c r="L200" s="23"/>
      <c r="M200" s="23"/>
      <c r="N200" s="23"/>
      <c r="O200" s="23"/>
      <c r="P200" s="23"/>
      <c r="Q200" s="23"/>
      <c r="R200" s="23"/>
      <c r="S200" s="23"/>
      <c r="T200" s="23"/>
      <c r="U200" s="23"/>
      <c r="V200" s="23"/>
      <c r="W200" s="23"/>
      <c r="X200" s="23"/>
      <c r="Y200" s="24"/>
    </row>
    <row r="203" spans="2:25" ht="15" thickBot="1" x14ac:dyDescent="0.35"/>
    <row r="204" spans="2:25" x14ac:dyDescent="0.3">
      <c r="B204" s="16"/>
      <c r="C204" s="17"/>
      <c r="D204" s="17"/>
      <c r="E204" s="17"/>
      <c r="F204" s="17"/>
      <c r="G204" s="17"/>
      <c r="H204" s="17"/>
      <c r="I204" s="17"/>
      <c r="J204" s="17"/>
      <c r="K204" s="17"/>
      <c r="L204" s="17"/>
      <c r="M204" s="17"/>
      <c r="N204" s="17"/>
      <c r="O204" s="17"/>
      <c r="P204" s="17"/>
      <c r="Q204" s="17"/>
      <c r="R204" s="17"/>
      <c r="S204" s="17"/>
      <c r="T204" s="17"/>
      <c r="U204" s="17"/>
      <c r="V204" s="17"/>
      <c r="W204" s="17"/>
      <c r="X204" s="17"/>
      <c r="Y204" s="18"/>
    </row>
    <row r="205" spans="2:25" x14ac:dyDescent="0.3">
      <c r="B205" s="19"/>
      <c r="Y205" s="20"/>
    </row>
    <row r="206" spans="2:25" x14ac:dyDescent="0.3">
      <c r="B206" s="19"/>
      <c r="C206" s="21" t="s">
        <v>2509</v>
      </c>
      <c r="Y206" s="20"/>
    </row>
    <row r="207" spans="2:25" x14ac:dyDescent="0.3">
      <c r="B207" s="19"/>
      <c r="L207" s="679" t="s">
        <v>335</v>
      </c>
      <c r="M207" s="679"/>
      <c r="Y207" s="20"/>
    </row>
    <row r="208" spans="2:25" x14ac:dyDescent="0.3">
      <c r="B208" s="19"/>
      <c r="C208" s="42" t="s">
        <v>2387</v>
      </c>
      <c r="Y208" s="20"/>
    </row>
    <row r="209" spans="2:25" x14ac:dyDescent="0.3">
      <c r="B209" s="19"/>
      <c r="D209" s="47" t="s">
        <v>2356</v>
      </c>
      <c r="E209" s="47"/>
      <c r="F209" s="47"/>
      <c r="G209" s="47"/>
      <c r="H209" s="47"/>
      <c r="I209" s="47"/>
      <c r="J209" s="47"/>
      <c r="K209" s="43"/>
      <c r="L209" s="840">
        <f>Phyto!L356</f>
        <v>0</v>
      </c>
      <c r="M209" s="841"/>
      <c r="O209" s="141"/>
      <c r="Y209" s="20"/>
    </row>
    <row r="210" spans="2:25" x14ac:dyDescent="0.3">
      <c r="B210" s="19"/>
      <c r="D210" s="48" t="s">
        <v>337</v>
      </c>
      <c r="E210" s="48"/>
      <c r="F210" s="48"/>
      <c r="G210" s="48"/>
      <c r="H210" s="48"/>
      <c r="I210" s="48"/>
      <c r="J210" s="48"/>
      <c r="K210" s="44"/>
      <c r="L210" s="840">
        <f>Phyto!L357</f>
        <v>0</v>
      </c>
      <c r="M210" s="841"/>
      <c r="Y210" s="20"/>
    </row>
    <row r="211" spans="2:25" x14ac:dyDescent="0.3">
      <c r="B211" s="19"/>
      <c r="Y211" s="20"/>
    </row>
    <row r="212" spans="2:25" x14ac:dyDescent="0.3">
      <c r="B212" s="19"/>
      <c r="Y212" s="20"/>
    </row>
    <row r="213" spans="2:25" x14ac:dyDescent="0.3">
      <c r="B213" s="19"/>
      <c r="C213" s="42"/>
      <c r="Y213" s="20"/>
    </row>
    <row r="214" spans="2:25" x14ac:dyDescent="0.3">
      <c r="B214" s="19"/>
      <c r="N214" s="678"/>
      <c r="O214" s="678"/>
      <c r="Y214" s="20"/>
    </row>
    <row r="215" spans="2:25" x14ac:dyDescent="0.3">
      <c r="B215" s="19"/>
      <c r="D215" s="75" t="s">
        <v>2357</v>
      </c>
      <c r="E215" s="75"/>
      <c r="F215" s="75"/>
      <c r="G215" s="75"/>
      <c r="H215" s="75"/>
      <c r="I215" s="75"/>
      <c r="J215" s="75"/>
      <c r="K215" s="100"/>
      <c r="L215" s="840">
        <f>Surfaces!O197</f>
        <v>0</v>
      </c>
      <c r="M215" s="841"/>
      <c r="N215" s="678" t="s">
        <v>3204</v>
      </c>
      <c r="O215" s="678"/>
      <c r="Y215" s="20"/>
    </row>
    <row r="216" spans="2:25" x14ac:dyDescent="0.3">
      <c r="B216" s="19"/>
      <c r="D216" s="76" t="s">
        <v>2321</v>
      </c>
      <c r="E216" s="76"/>
      <c r="F216" s="76"/>
      <c r="G216" s="76"/>
      <c r="H216" s="76"/>
      <c r="I216" s="76"/>
      <c r="J216" s="76"/>
      <c r="K216" s="101"/>
      <c r="L216" s="837">
        <f>Phyto!L364</f>
        <v>0</v>
      </c>
      <c r="M216" s="838"/>
      <c r="N216" s="835">
        <f>Phyto!N364</f>
        <v>0</v>
      </c>
      <c r="O216" s="849"/>
      <c r="Y216" s="20"/>
    </row>
    <row r="217" spans="2:25" x14ac:dyDescent="0.3">
      <c r="B217" s="19"/>
      <c r="D217" s="76" t="s">
        <v>2322</v>
      </c>
      <c r="E217" s="76"/>
      <c r="F217" s="76"/>
      <c r="G217" s="76"/>
      <c r="H217" s="76"/>
      <c r="I217" s="76"/>
      <c r="J217" s="76"/>
      <c r="K217" s="101"/>
      <c r="L217" s="837">
        <f>Phyto!L365</f>
        <v>0</v>
      </c>
      <c r="M217" s="838"/>
      <c r="N217" s="835">
        <f>Phyto!N365</f>
        <v>0</v>
      </c>
      <c r="O217" s="849"/>
      <c r="Y217" s="20"/>
    </row>
    <row r="218" spans="2:25" x14ac:dyDescent="0.3">
      <c r="B218" s="19"/>
      <c r="V218" s="680" t="s">
        <v>3205</v>
      </c>
      <c r="W218" s="680"/>
      <c r="X218" s="680"/>
      <c r="Y218" s="681"/>
    </row>
    <row r="219" spans="2:25" x14ac:dyDescent="0.3">
      <c r="B219" s="19"/>
      <c r="D219" s="149" t="s">
        <v>604</v>
      </c>
      <c r="E219" s="39"/>
      <c r="F219" s="39"/>
      <c r="G219" s="39"/>
      <c r="H219" s="39"/>
      <c r="I219" s="39"/>
      <c r="J219" s="39"/>
      <c r="K219" s="39"/>
      <c r="L219" s="39"/>
      <c r="M219" s="112"/>
      <c r="N219" s="917">
        <f>IF(cIrriguante="Non",0,IF(cSAU=0,0,(SUM(N216:O217)*L215/Surfaces!O25)))</f>
        <v>0</v>
      </c>
      <c r="O219" s="918"/>
      <c r="W219" s="694">
        <f>IF(cSAU=0,6,6*L215/cSAU)</f>
        <v>6</v>
      </c>
      <c r="X219" s="695"/>
      <c r="Y219" s="20"/>
    </row>
    <row r="220" spans="2:25" x14ac:dyDescent="0.3">
      <c r="B220" s="19"/>
      <c r="Y220" s="20"/>
    </row>
    <row r="221" spans="2:25" x14ac:dyDescent="0.3">
      <c r="B221" s="19"/>
      <c r="Y221" s="20"/>
    </row>
    <row r="222" spans="2:25" x14ac:dyDescent="0.3">
      <c r="B222" s="19"/>
      <c r="D222" s="70" t="s">
        <v>2472</v>
      </c>
      <c r="Y222" s="20"/>
    </row>
    <row r="223" spans="2:25" x14ac:dyDescent="0.3">
      <c r="B223" s="19"/>
      <c r="D223" s="652"/>
      <c r="E223" s="653"/>
      <c r="F223" s="653"/>
      <c r="G223" s="653"/>
      <c r="H223" s="653"/>
      <c r="I223" s="653"/>
      <c r="J223" s="653"/>
      <c r="K223" s="653"/>
      <c r="L223" s="653"/>
      <c r="M223" s="653"/>
      <c r="N223" s="653"/>
      <c r="O223" s="653"/>
      <c r="P223" s="653"/>
      <c r="Q223" s="653"/>
      <c r="R223" s="653"/>
      <c r="S223" s="653"/>
      <c r="T223" s="653"/>
      <c r="U223" s="653"/>
      <c r="V223" s="653"/>
      <c r="W223" s="653"/>
      <c r="X223" s="654"/>
      <c r="Y223" s="20"/>
    </row>
    <row r="224" spans="2:25" x14ac:dyDescent="0.3">
      <c r="B224" s="19"/>
      <c r="D224" s="655"/>
      <c r="E224" s="656"/>
      <c r="F224" s="656"/>
      <c r="G224" s="656"/>
      <c r="H224" s="656"/>
      <c r="I224" s="656"/>
      <c r="J224" s="656"/>
      <c r="K224" s="656"/>
      <c r="L224" s="656"/>
      <c r="M224" s="656"/>
      <c r="N224" s="656"/>
      <c r="O224" s="656"/>
      <c r="P224" s="656"/>
      <c r="Q224" s="656"/>
      <c r="R224" s="656"/>
      <c r="S224" s="656"/>
      <c r="T224" s="656"/>
      <c r="U224" s="656"/>
      <c r="V224" s="656"/>
      <c r="W224" s="656"/>
      <c r="X224" s="657"/>
      <c r="Y224" s="20"/>
    </row>
    <row r="225" spans="2:25" x14ac:dyDescent="0.3">
      <c r="B225" s="19"/>
      <c r="D225" s="655"/>
      <c r="E225" s="656"/>
      <c r="F225" s="656"/>
      <c r="G225" s="656"/>
      <c r="H225" s="656"/>
      <c r="I225" s="656"/>
      <c r="J225" s="656"/>
      <c r="K225" s="656"/>
      <c r="L225" s="656"/>
      <c r="M225" s="656"/>
      <c r="N225" s="656"/>
      <c r="O225" s="656"/>
      <c r="P225" s="656"/>
      <c r="Q225" s="656"/>
      <c r="R225" s="656"/>
      <c r="S225" s="656"/>
      <c r="T225" s="656"/>
      <c r="U225" s="656"/>
      <c r="V225" s="656"/>
      <c r="W225" s="656"/>
      <c r="X225" s="657"/>
      <c r="Y225" s="20"/>
    </row>
    <row r="226" spans="2:25" x14ac:dyDescent="0.3">
      <c r="B226" s="19"/>
      <c r="D226" s="655"/>
      <c r="E226" s="656"/>
      <c r="F226" s="656"/>
      <c r="G226" s="656"/>
      <c r="H226" s="656"/>
      <c r="I226" s="656"/>
      <c r="J226" s="656"/>
      <c r="K226" s="656"/>
      <c r="L226" s="656"/>
      <c r="M226" s="656"/>
      <c r="N226" s="656"/>
      <c r="O226" s="656"/>
      <c r="P226" s="656"/>
      <c r="Q226" s="656"/>
      <c r="R226" s="656"/>
      <c r="S226" s="656"/>
      <c r="T226" s="656"/>
      <c r="U226" s="656"/>
      <c r="V226" s="656"/>
      <c r="W226" s="656"/>
      <c r="X226" s="657"/>
      <c r="Y226" s="20"/>
    </row>
    <row r="227" spans="2:25" x14ac:dyDescent="0.3">
      <c r="B227" s="19"/>
      <c r="D227" s="658"/>
      <c r="E227" s="659"/>
      <c r="F227" s="659"/>
      <c r="G227" s="659"/>
      <c r="H227" s="659"/>
      <c r="I227" s="659"/>
      <c r="J227" s="659"/>
      <c r="K227" s="659"/>
      <c r="L227" s="659"/>
      <c r="M227" s="659"/>
      <c r="N227" s="659"/>
      <c r="O227" s="659"/>
      <c r="P227" s="659"/>
      <c r="Q227" s="659"/>
      <c r="R227" s="659"/>
      <c r="S227" s="659"/>
      <c r="T227" s="659"/>
      <c r="U227" s="659"/>
      <c r="V227" s="659"/>
      <c r="W227" s="659"/>
      <c r="X227" s="660"/>
      <c r="Y227" s="20"/>
    </row>
    <row r="228" spans="2:25" x14ac:dyDescent="0.3">
      <c r="B228" s="19"/>
      <c r="Y228" s="20"/>
    </row>
    <row r="229" spans="2:25" ht="15" thickBot="1" x14ac:dyDescent="0.35">
      <c r="B229" s="22"/>
      <c r="C229" s="23"/>
      <c r="D229" s="23"/>
      <c r="E229" s="23"/>
      <c r="F229" s="23"/>
      <c r="G229" s="23"/>
      <c r="H229" s="23"/>
      <c r="I229" s="23"/>
      <c r="J229" s="23"/>
      <c r="K229" s="23"/>
      <c r="L229" s="23"/>
      <c r="M229" s="23"/>
      <c r="N229" s="23"/>
      <c r="O229" s="23"/>
      <c r="P229" s="23"/>
      <c r="Q229" s="23"/>
      <c r="R229" s="23"/>
      <c r="S229" s="23"/>
      <c r="T229" s="23"/>
      <c r="U229" s="23"/>
      <c r="V229" s="23"/>
      <c r="W229" s="23"/>
      <c r="X229" s="23"/>
      <c r="Y229" s="24"/>
    </row>
    <row r="232" spans="2:25" ht="15" thickBot="1" x14ac:dyDescent="0.35"/>
    <row r="233" spans="2:25" x14ac:dyDescent="0.3">
      <c r="B233" s="16"/>
      <c r="C233" s="17"/>
      <c r="D233" s="17"/>
      <c r="E233" s="17"/>
      <c r="F233" s="17"/>
      <c r="G233" s="17"/>
      <c r="H233" s="17"/>
      <c r="I233" s="17"/>
      <c r="J233" s="17"/>
      <c r="K233" s="17"/>
      <c r="L233" s="17"/>
      <c r="M233" s="17"/>
      <c r="N233" s="17"/>
      <c r="O233" s="17"/>
      <c r="P233" s="17"/>
      <c r="Q233" s="17"/>
      <c r="R233" s="17"/>
      <c r="S233" s="17"/>
      <c r="T233" s="17"/>
      <c r="U233" s="17"/>
      <c r="V233" s="17"/>
      <c r="W233" s="17"/>
      <c r="X233" s="17"/>
      <c r="Y233" s="18"/>
    </row>
    <row r="234" spans="2:25" x14ac:dyDescent="0.3">
      <c r="B234" s="19"/>
      <c r="Y234" s="20"/>
    </row>
    <row r="235" spans="2:25" x14ac:dyDescent="0.3">
      <c r="B235" s="19"/>
      <c r="C235" s="141" t="s">
        <v>2550</v>
      </c>
      <c r="Y235" s="20"/>
    </row>
    <row r="236" spans="2:25" x14ac:dyDescent="0.3">
      <c r="B236" s="19"/>
      <c r="Y236" s="20"/>
    </row>
    <row r="237" spans="2:25" x14ac:dyDescent="0.3">
      <c r="B237" s="19"/>
      <c r="C237" s="42" t="s">
        <v>376</v>
      </c>
      <c r="M237" s="113"/>
      <c r="N237" s="747"/>
      <c r="O237" s="748"/>
      <c r="Y237" s="20"/>
    </row>
    <row r="238" spans="2:25" x14ac:dyDescent="0.3">
      <c r="B238" s="19"/>
      <c r="Y238" s="20"/>
    </row>
    <row r="239" spans="2:25" x14ac:dyDescent="0.3">
      <c r="B239" s="19"/>
      <c r="P239" s="678"/>
      <c r="Q239" s="678"/>
      <c r="Y239" s="20"/>
    </row>
    <row r="240" spans="2:25" x14ac:dyDescent="0.3">
      <c r="B240" s="19"/>
      <c r="Y240" s="20"/>
    </row>
    <row r="241" spans="2:25" x14ac:dyDescent="0.3">
      <c r="B241" s="19"/>
      <c r="C241" s="75" t="s">
        <v>2485</v>
      </c>
      <c r="D241" s="75"/>
      <c r="E241" s="75"/>
      <c r="F241" s="75"/>
      <c r="G241" s="75"/>
      <c r="H241" s="75"/>
      <c r="I241" s="75"/>
      <c r="J241" s="75"/>
      <c r="K241" s="75"/>
      <c r="L241" s="75"/>
      <c r="M241" s="100"/>
      <c r="N241" s="837">
        <f>IFERROR(Surfaces!O137/cSAU,0)</f>
        <v>0</v>
      </c>
      <c r="O241" s="838"/>
      <c r="P241" s="678" t="s">
        <v>3204</v>
      </c>
      <c r="Q241" s="678"/>
      <c r="V241" s="680" t="s">
        <v>3205</v>
      </c>
      <c r="W241" s="680"/>
      <c r="X241" s="680"/>
      <c r="Y241" s="681"/>
    </row>
    <row r="242" spans="2:25" x14ac:dyDescent="0.3">
      <c r="B242" s="19"/>
      <c r="C242" s="149" t="s">
        <v>417</v>
      </c>
      <c r="D242" s="40"/>
      <c r="E242" s="40"/>
      <c r="F242" s="40"/>
      <c r="G242" s="40"/>
      <c r="H242" s="40"/>
      <c r="I242" s="40"/>
      <c r="J242" s="40"/>
      <c r="K242" s="40"/>
      <c r="L242" s="40"/>
      <c r="M242" s="40"/>
      <c r="N242" s="40"/>
      <c r="O242" s="45"/>
      <c r="P242" s="917">
        <f>IF(cIrriguante="Non",0,IF(N237="Oui",1*N241,0))</f>
        <v>0</v>
      </c>
      <c r="Q242" s="918"/>
      <c r="W242" s="694">
        <f>IF(cSAU=0,1,1*N241)</f>
        <v>1</v>
      </c>
      <c r="X242" s="695"/>
      <c r="Y242" s="20"/>
    </row>
    <row r="243" spans="2:25" x14ac:dyDescent="0.3">
      <c r="B243" s="19"/>
      <c r="Y243" s="20"/>
    </row>
    <row r="244" spans="2:25" x14ac:dyDescent="0.3">
      <c r="B244" s="19"/>
      <c r="Y244" s="20"/>
    </row>
    <row r="245" spans="2:25" x14ac:dyDescent="0.3">
      <c r="B245" s="19"/>
      <c r="D245" s="70" t="s">
        <v>2472</v>
      </c>
      <c r="Y245" s="20"/>
    </row>
    <row r="246" spans="2:25" x14ac:dyDescent="0.3">
      <c r="B246" s="19"/>
      <c r="D246" s="652"/>
      <c r="E246" s="653"/>
      <c r="F246" s="653"/>
      <c r="G246" s="653"/>
      <c r="H246" s="653"/>
      <c r="I246" s="653"/>
      <c r="J246" s="653"/>
      <c r="K246" s="653"/>
      <c r="L246" s="653"/>
      <c r="M246" s="653"/>
      <c r="N246" s="653"/>
      <c r="O246" s="653"/>
      <c r="P246" s="653"/>
      <c r="Q246" s="653"/>
      <c r="R246" s="653"/>
      <c r="S246" s="653"/>
      <c r="T246" s="653"/>
      <c r="U246" s="653"/>
      <c r="V246" s="653"/>
      <c r="W246" s="653"/>
      <c r="X246" s="654"/>
      <c r="Y246" s="20"/>
    </row>
    <row r="247" spans="2:25" x14ac:dyDescent="0.3">
      <c r="B247" s="19"/>
      <c r="D247" s="655"/>
      <c r="E247" s="656"/>
      <c r="F247" s="656"/>
      <c r="G247" s="656"/>
      <c r="H247" s="656"/>
      <c r="I247" s="656"/>
      <c r="J247" s="656"/>
      <c r="K247" s="656"/>
      <c r="L247" s="656"/>
      <c r="M247" s="656"/>
      <c r="N247" s="656"/>
      <c r="O247" s="656"/>
      <c r="P247" s="656"/>
      <c r="Q247" s="656"/>
      <c r="R247" s="656"/>
      <c r="S247" s="656"/>
      <c r="T247" s="656"/>
      <c r="U247" s="656"/>
      <c r="V247" s="656"/>
      <c r="W247" s="656"/>
      <c r="X247" s="657"/>
      <c r="Y247" s="20"/>
    </row>
    <row r="248" spans="2:25" x14ac:dyDescent="0.3">
      <c r="B248" s="19"/>
      <c r="D248" s="655"/>
      <c r="E248" s="656"/>
      <c r="F248" s="656"/>
      <c r="G248" s="656"/>
      <c r="H248" s="656"/>
      <c r="I248" s="656"/>
      <c r="J248" s="656"/>
      <c r="K248" s="656"/>
      <c r="L248" s="656"/>
      <c r="M248" s="656"/>
      <c r="N248" s="656"/>
      <c r="O248" s="656"/>
      <c r="P248" s="656"/>
      <c r="Q248" s="656"/>
      <c r="R248" s="656"/>
      <c r="S248" s="656"/>
      <c r="T248" s="656"/>
      <c r="U248" s="656"/>
      <c r="V248" s="656"/>
      <c r="W248" s="656"/>
      <c r="X248" s="657"/>
      <c r="Y248" s="20"/>
    </row>
    <row r="249" spans="2:25" x14ac:dyDescent="0.3">
      <c r="B249" s="19"/>
      <c r="D249" s="655"/>
      <c r="E249" s="656"/>
      <c r="F249" s="656"/>
      <c r="G249" s="656"/>
      <c r="H249" s="656"/>
      <c r="I249" s="656"/>
      <c r="J249" s="656"/>
      <c r="K249" s="656"/>
      <c r="L249" s="656"/>
      <c r="M249" s="656"/>
      <c r="N249" s="656"/>
      <c r="O249" s="656"/>
      <c r="P249" s="656"/>
      <c r="Q249" s="656"/>
      <c r="R249" s="656"/>
      <c r="S249" s="656"/>
      <c r="T249" s="656"/>
      <c r="U249" s="656"/>
      <c r="V249" s="656"/>
      <c r="W249" s="656"/>
      <c r="X249" s="657"/>
      <c r="Y249" s="20"/>
    </row>
    <row r="250" spans="2:25" x14ac:dyDescent="0.3">
      <c r="B250" s="19"/>
      <c r="D250" s="658"/>
      <c r="E250" s="659"/>
      <c r="F250" s="659"/>
      <c r="G250" s="659"/>
      <c r="H250" s="659"/>
      <c r="I250" s="659"/>
      <c r="J250" s="659"/>
      <c r="K250" s="659"/>
      <c r="L250" s="659"/>
      <c r="M250" s="659"/>
      <c r="N250" s="659"/>
      <c r="O250" s="659"/>
      <c r="P250" s="659"/>
      <c r="Q250" s="659"/>
      <c r="R250" s="659"/>
      <c r="S250" s="659"/>
      <c r="T250" s="659"/>
      <c r="U250" s="659"/>
      <c r="V250" s="659"/>
      <c r="W250" s="659"/>
      <c r="X250" s="660"/>
      <c r="Y250" s="20"/>
    </row>
    <row r="251" spans="2:25" x14ac:dyDescent="0.3">
      <c r="B251" s="19"/>
      <c r="Y251" s="20"/>
    </row>
    <row r="252" spans="2:25" ht="15" thickBot="1" x14ac:dyDescent="0.35">
      <c r="B252" s="22"/>
      <c r="C252" s="23"/>
      <c r="D252" s="23"/>
      <c r="E252" s="23"/>
      <c r="F252" s="23"/>
      <c r="G252" s="23"/>
      <c r="H252" s="23"/>
      <c r="I252" s="23"/>
      <c r="J252" s="23"/>
      <c r="K252" s="23"/>
      <c r="L252" s="23"/>
      <c r="M252" s="23"/>
      <c r="N252" s="23"/>
      <c r="O252" s="23"/>
      <c r="P252" s="23"/>
      <c r="Q252" s="23"/>
      <c r="R252" s="23"/>
      <c r="S252" s="23"/>
      <c r="T252" s="23"/>
      <c r="U252" s="23"/>
      <c r="V252" s="23"/>
      <c r="W252" s="23"/>
      <c r="X252" s="23"/>
      <c r="Y252" s="24"/>
    </row>
    <row r="255" spans="2:25" ht="15" thickBot="1" x14ac:dyDescent="0.35"/>
    <row r="256" spans="2:25" x14ac:dyDescent="0.3">
      <c r="B256" s="8"/>
      <c r="C256" s="9"/>
      <c r="D256" s="9"/>
      <c r="E256" s="9"/>
      <c r="F256" s="9"/>
      <c r="G256" s="9"/>
      <c r="H256" s="9"/>
      <c r="I256" s="9"/>
      <c r="J256" s="9"/>
      <c r="K256" s="9"/>
      <c r="L256" s="9"/>
      <c r="M256" s="9"/>
      <c r="N256" s="9"/>
      <c r="O256" s="9"/>
      <c r="P256" s="9"/>
      <c r="Q256" s="9"/>
      <c r="R256" s="9"/>
      <c r="S256" s="9"/>
      <c r="T256" s="9"/>
      <c r="U256" s="9"/>
      <c r="V256" s="9"/>
      <c r="W256" s="9"/>
      <c r="X256" s="9"/>
      <c r="Y256" s="10"/>
    </row>
    <row r="257" spans="2:25" x14ac:dyDescent="0.3">
      <c r="B257" s="11"/>
      <c r="Y257" s="12"/>
    </row>
    <row r="258" spans="2:25" x14ac:dyDescent="0.3">
      <c r="B258" s="11"/>
      <c r="R258" s="678" t="s">
        <v>3204</v>
      </c>
      <c r="S258" s="678"/>
      <c r="V258" s="680" t="s">
        <v>3205</v>
      </c>
      <c r="W258" s="680"/>
      <c r="X258" s="680"/>
      <c r="Y258" s="681"/>
    </row>
    <row r="259" spans="2:25" x14ac:dyDescent="0.3">
      <c r="B259" s="11"/>
      <c r="C259" s="75" t="s">
        <v>2304</v>
      </c>
      <c r="D259" s="40"/>
      <c r="E259" s="40"/>
      <c r="F259" s="40"/>
      <c r="G259" s="40"/>
      <c r="H259" s="40"/>
      <c r="I259" s="40"/>
      <c r="J259" s="40"/>
      <c r="K259" s="40"/>
      <c r="L259" s="40"/>
      <c r="M259" s="40"/>
      <c r="N259" s="40"/>
      <c r="O259" s="40"/>
      <c r="P259" s="40"/>
      <c r="Q259" s="45"/>
      <c r="R259" s="696">
        <f>M51+O92+D139+N167+L124+M190+N219+P242</f>
        <v>0</v>
      </c>
      <c r="S259" s="697"/>
      <c r="W259" s="694">
        <f>W51+W92+W124+W139+W167+W190+W219+W242</f>
        <v>34</v>
      </c>
      <c r="X259" s="695"/>
      <c r="Y259" s="12"/>
    </row>
    <row r="260" spans="2:25" x14ac:dyDescent="0.3">
      <c r="B260" s="11"/>
      <c r="Y260" s="12"/>
    </row>
    <row r="261" spans="2:25" x14ac:dyDescent="0.3">
      <c r="B261" s="11"/>
      <c r="Y261" s="12"/>
    </row>
    <row r="262" spans="2:25" x14ac:dyDescent="0.3">
      <c r="B262" s="11"/>
      <c r="C262" s="70" t="s">
        <v>2472</v>
      </c>
      <c r="Y262" s="12"/>
    </row>
    <row r="263" spans="2:25" x14ac:dyDescent="0.3">
      <c r="B263" s="11"/>
      <c r="C263" s="652"/>
      <c r="D263" s="653"/>
      <c r="E263" s="653"/>
      <c r="F263" s="653"/>
      <c r="G263" s="653"/>
      <c r="H263" s="653"/>
      <c r="I263" s="653"/>
      <c r="J263" s="653"/>
      <c r="K263" s="653"/>
      <c r="L263" s="653"/>
      <c r="M263" s="653"/>
      <c r="N263" s="653"/>
      <c r="O263" s="653"/>
      <c r="P263" s="653"/>
      <c r="Q263" s="653"/>
      <c r="R263" s="653"/>
      <c r="S263" s="653"/>
      <c r="T263" s="653"/>
      <c r="U263" s="653"/>
      <c r="V263" s="653"/>
      <c r="W263" s="654"/>
      <c r="Y263" s="12"/>
    </row>
    <row r="264" spans="2:25" x14ac:dyDescent="0.3">
      <c r="B264" s="11"/>
      <c r="C264" s="655"/>
      <c r="D264" s="656"/>
      <c r="E264" s="656"/>
      <c r="F264" s="656"/>
      <c r="G264" s="656"/>
      <c r="H264" s="656"/>
      <c r="I264" s="656"/>
      <c r="J264" s="656"/>
      <c r="K264" s="656"/>
      <c r="L264" s="656"/>
      <c r="M264" s="656"/>
      <c r="N264" s="656"/>
      <c r="O264" s="656"/>
      <c r="P264" s="656"/>
      <c r="Q264" s="656"/>
      <c r="R264" s="656"/>
      <c r="S264" s="656"/>
      <c r="T264" s="656"/>
      <c r="U264" s="656"/>
      <c r="V264" s="656"/>
      <c r="W264" s="657"/>
      <c r="Y264" s="12"/>
    </row>
    <row r="265" spans="2:25" x14ac:dyDescent="0.3">
      <c r="B265" s="11"/>
      <c r="C265" s="655"/>
      <c r="D265" s="656"/>
      <c r="E265" s="656"/>
      <c r="F265" s="656"/>
      <c r="G265" s="656"/>
      <c r="H265" s="656"/>
      <c r="I265" s="656"/>
      <c r="J265" s="656"/>
      <c r="K265" s="656"/>
      <c r="L265" s="656"/>
      <c r="M265" s="656"/>
      <c r="N265" s="656"/>
      <c r="O265" s="656"/>
      <c r="P265" s="656"/>
      <c r="Q265" s="656"/>
      <c r="R265" s="656"/>
      <c r="S265" s="656"/>
      <c r="T265" s="656"/>
      <c r="U265" s="656"/>
      <c r="V265" s="656"/>
      <c r="W265" s="657"/>
      <c r="Y265" s="12"/>
    </row>
    <row r="266" spans="2:25" x14ac:dyDescent="0.3">
      <c r="B266" s="11"/>
      <c r="C266" s="655"/>
      <c r="D266" s="656"/>
      <c r="E266" s="656"/>
      <c r="F266" s="656"/>
      <c r="G266" s="656"/>
      <c r="H266" s="656"/>
      <c r="I266" s="656"/>
      <c r="J266" s="656"/>
      <c r="K266" s="656"/>
      <c r="L266" s="656"/>
      <c r="M266" s="656"/>
      <c r="N266" s="656"/>
      <c r="O266" s="656"/>
      <c r="P266" s="656"/>
      <c r="Q266" s="656"/>
      <c r="R266" s="656"/>
      <c r="S266" s="656"/>
      <c r="T266" s="656"/>
      <c r="U266" s="656"/>
      <c r="V266" s="656"/>
      <c r="W266" s="657"/>
      <c r="Y266" s="12"/>
    </row>
    <row r="267" spans="2:25" x14ac:dyDescent="0.3">
      <c r="B267" s="11"/>
      <c r="C267" s="655"/>
      <c r="D267" s="656"/>
      <c r="E267" s="656"/>
      <c r="F267" s="656"/>
      <c r="G267" s="656"/>
      <c r="H267" s="656"/>
      <c r="I267" s="656"/>
      <c r="J267" s="656"/>
      <c r="K267" s="656"/>
      <c r="L267" s="656"/>
      <c r="M267" s="656"/>
      <c r="N267" s="656"/>
      <c r="O267" s="656"/>
      <c r="P267" s="656"/>
      <c r="Q267" s="656"/>
      <c r="R267" s="656"/>
      <c r="S267" s="656"/>
      <c r="T267" s="656"/>
      <c r="U267" s="656"/>
      <c r="V267" s="656"/>
      <c r="W267" s="657"/>
      <c r="Y267" s="12"/>
    </row>
    <row r="268" spans="2:25" x14ac:dyDescent="0.3">
      <c r="B268" s="11"/>
      <c r="C268" s="655"/>
      <c r="D268" s="656"/>
      <c r="E268" s="656"/>
      <c r="F268" s="656"/>
      <c r="G268" s="656"/>
      <c r="H268" s="656"/>
      <c r="I268" s="656"/>
      <c r="J268" s="656"/>
      <c r="K268" s="656"/>
      <c r="L268" s="656"/>
      <c r="M268" s="656"/>
      <c r="N268" s="656"/>
      <c r="O268" s="656"/>
      <c r="P268" s="656"/>
      <c r="Q268" s="656"/>
      <c r="R268" s="656"/>
      <c r="S268" s="656"/>
      <c r="T268" s="656"/>
      <c r="U268" s="656"/>
      <c r="V268" s="656"/>
      <c r="W268" s="657"/>
      <c r="Y268" s="12"/>
    </row>
    <row r="269" spans="2:25" x14ac:dyDescent="0.3">
      <c r="B269" s="11"/>
      <c r="C269" s="655"/>
      <c r="D269" s="656"/>
      <c r="E269" s="656"/>
      <c r="F269" s="656"/>
      <c r="G269" s="656"/>
      <c r="H269" s="656"/>
      <c r="I269" s="656"/>
      <c r="J269" s="656"/>
      <c r="K269" s="656"/>
      <c r="L269" s="656"/>
      <c r="M269" s="656"/>
      <c r="N269" s="656"/>
      <c r="O269" s="656"/>
      <c r="P269" s="656"/>
      <c r="Q269" s="656"/>
      <c r="R269" s="656"/>
      <c r="S269" s="656"/>
      <c r="T269" s="656"/>
      <c r="U269" s="656"/>
      <c r="V269" s="656"/>
      <c r="W269" s="657"/>
      <c r="Y269" s="12"/>
    </row>
    <row r="270" spans="2:25" x14ac:dyDescent="0.3">
      <c r="B270" s="11"/>
      <c r="C270" s="655"/>
      <c r="D270" s="656"/>
      <c r="E270" s="656"/>
      <c r="F270" s="656"/>
      <c r="G270" s="656"/>
      <c r="H270" s="656"/>
      <c r="I270" s="656"/>
      <c r="J270" s="656"/>
      <c r="K270" s="656"/>
      <c r="L270" s="656"/>
      <c r="M270" s="656"/>
      <c r="N270" s="656"/>
      <c r="O270" s="656"/>
      <c r="P270" s="656"/>
      <c r="Q270" s="656"/>
      <c r="R270" s="656"/>
      <c r="S270" s="656"/>
      <c r="T270" s="656"/>
      <c r="U270" s="656"/>
      <c r="V270" s="656"/>
      <c r="W270" s="657"/>
      <c r="Y270" s="12"/>
    </row>
    <row r="271" spans="2:25" x14ac:dyDescent="0.3">
      <c r="B271" s="11"/>
      <c r="C271" s="655"/>
      <c r="D271" s="656"/>
      <c r="E271" s="656"/>
      <c r="F271" s="656"/>
      <c r="G271" s="656"/>
      <c r="H271" s="656"/>
      <c r="I271" s="656"/>
      <c r="J271" s="656"/>
      <c r="K271" s="656"/>
      <c r="L271" s="656"/>
      <c r="M271" s="656"/>
      <c r="N271" s="656"/>
      <c r="O271" s="656"/>
      <c r="P271" s="656"/>
      <c r="Q271" s="656"/>
      <c r="R271" s="656"/>
      <c r="S271" s="656"/>
      <c r="T271" s="656"/>
      <c r="U271" s="656"/>
      <c r="V271" s="656"/>
      <c r="W271" s="657"/>
      <c r="Y271" s="12"/>
    </row>
    <row r="272" spans="2:25" x14ac:dyDescent="0.3">
      <c r="B272" s="11"/>
      <c r="C272" s="658"/>
      <c r="D272" s="659"/>
      <c r="E272" s="659"/>
      <c r="F272" s="659"/>
      <c r="G272" s="659"/>
      <c r="H272" s="659"/>
      <c r="I272" s="659"/>
      <c r="J272" s="659"/>
      <c r="K272" s="659"/>
      <c r="L272" s="659"/>
      <c r="M272" s="659"/>
      <c r="N272" s="659"/>
      <c r="O272" s="659"/>
      <c r="P272" s="659"/>
      <c r="Q272" s="659"/>
      <c r="R272" s="659"/>
      <c r="S272" s="659"/>
      <c r="T272" s="659"/>
      <c r="U272" s="659"/>
      <c r="V272" s="659"/>
      <c r="W272" s="660"/>
      <c r="Y272" s="12"/>
    </row>
    <row r="273" spans="2:25" x14ac:dyDescent="0.3">
      <c r="B273" s="11"/>
      <c r="Y273" s="12"/>
    </row>
    <row r="274" spans="2:25" ht="15" thickBot="1" x14ac:dyDescent="0.35">
      <c r="B274" s="13"/>
      <c r="C274" s="14"/>
      <c r="D274" s="14"/>
      <c r="E274" s="14"/>
      <c r="F274" s="14"/>
      <c r="G274" s="14"/>
      <c r="H274" s="14"/>
      <c r="I274" s="14"/>
      <c r="J274" s="14"/>
      <c r="K274" s="14"/>
      <c r="L274" s="14"/>
      <c r="M274" s="14"/>
      <c r="N274" s="14"/>
      <c r="O274" s="14"/>
      <c r="P274" s="14"/>
      <c r="Q274" s="14"/>
      <c r="R274" s="14"/>
      <c r="S274" s="14"/>
      <c r="T274" s="14"/>
      <c r="U274" s="14"/>
      <c r="V274" s="14"/>
      <c r="W274" s="14"/>
      <c r="X274" s="14"/>
      <c r="Y274" s="15"/>
    </row>
  </sheetData>
  <sheetProtection algorithmName="SHA-512" hashValue="xevxYitw/7cnWWRQWnX4XiSBbi0iRBY71KUy7y8JsodYxW3fYmBBDLOM1iUzd/m/m1GoVR7hDlN5EycW65CH+w==" saltValue="JMRFRiyTbcikkreYQVM3lg==" spinCount="100000" sheet="1" objects="1" scenarios="1"/>
  <mergeCells count="114">
    <mergeCell ref="P239:Q239"/>
    <mergeCell ref="N241:O241"/>
    <mergeCell ref="V189:Y189"/>
    <mergeCell ref="V218:Y218"/>
    <mergeCell ref="V241:Y241"/>
    <mergeCell ref="R259:S259"/>
    <mergeCell ref="W259:X259"/>
    <mergeCell ref="C263:W272"/>
    <mergeCell ref="J134:N134"/>
    <mergeCell ref="D194:X198"/>
    <mergeCell ref="D223:X227"/>
    <mergeCell ref="D246:X250"/>
    <mergeCell ref="W242:X242"/>
    <mergeCell ref="N219:O219"/>
    <mergeCell ref="W139:X139"/>
    <mergeCell ref="W167:X167"/>
    <mergeCell ref="W190:X190"/>
    <mergeCell ref="D139:E139"/>
    <mergeCell ref="L154:M154"/>
    <mergeCell ref="C157:W161"/>
    <mergeCell ref="N217:O217"/>
    <mergeCell ref="L215:M215"/>
    <mergeCell ref="N214:O214"/>
    <mergeCell ref="K178:L178"/>
    <mergeCell ref="C181:X182"/>
    <mergeCell ref="C183:X184"/>
    <mergeCell ref="K189:L189"/>
    <mergeCell ref="K190:L190"/>
    <mergeCell ref="M187:N187"/>
    <mergeCell ref="M190:N190"/>
    <mergeCell ref="L207:M207"/>
    <mergeCell ref="N237:O237"/>
    <mergeCell ref="L210:M210"/>
    <mergeCell ref="W219:X219"/>
    <mergeCell ref="L217:M217"/>
    <mergeCell ref="Y4:Z4"/>
    <mergeCell ref="K12:L12"/>
    <mergeCell ref="K13:L13"/>
    <mergeCell ref="K37:L37"/>
    <mergeCell ref="K40:L40"/>
    <mergeCell ref="K24:L24"/>
    <mergeCell ref="K26:L26"/>
    <mergeCell ref="K27:L27"/>
    <mergeCell ref="K28:L28"/>
    <mergeCell ref="K31:L31"/>
    <mergeCell ref="K32:L32"/>
    <mergeCell ref="J30:M30"/>
    <mergeCell ref="K10:L10"/>
    <mergeCell ref="K34:L34"/>
    <mergeCell ref="K33:L33"/>
    <mergeCell ref="O10:S10"/>
    <mergeCell ref="K36:L36"/>
    <mergeCell ref="K14:L14"/>
    <mergeCell ref="K35:L35"/>
    <mergeCell ref="K41:L41"/>
    <mergeCell ref="K43:L43"/>
    <mergeCell ref="K44:L44"/>
    <mergeCell ref="L122:M122"/>
    <mergeCell ref="J123:K123"/>
    <mergeCell ref="J124:K124"/>
    <mergeCell ref="L124:M124"/>
    <mergeCell ref="D55:X64"/>
    <mergeCell ref="D96:X100"/>
    <mergeCell ref="M84:N84"/>
    <mergeCell ref="M49:N49"/>
    <mergeCell ref="M51:N51"/>
    <mergeCell ref="M76:N76"/>
    <mergeCell ref="M77:N77"/>
    <mergeCell ref="K51:L51"/>
    <mergeCell ref="K46:L46"/>
    <mergeCell ref="K42:L42"/>
    <mergeCell ref="C112:X116"/>
    <mergeCell ref="O92:P92"/>
    <mergeCell ref="J118:K118"/>
    <mergeCell ref="W51:X51"/>
    <mergeCell ref="M50:N50"/>
    <mergeCell ref="V50:Y50"/>
    <mergeCell ref="M78:N78"/>
    <mergeCell ref="O74:P74"/>
    <mergeCell ref="D137:E137"/>
    <mergeCell ref="W92:X92"/>
    <mergeCell ref="W124:X124"/>
    <mergeCell ref="C108:W109"/>
    <mergeCell ref="O87:P87"/>
    <mergeCell ref="M85:N85"/>
    <mergeCell ref="O80:P80"/>
    <mergeCell ref="M83:N83"/>
    <mergeCell ref="J133:K133"/>
    <mergeCell ref="V91:Y91"/>
    <mergeCell ref="V123:Y123"/>
    <mergeCell ref="V258:Y258"/>
    <mergeCell ref="O79:P79"/>
    <mergeCell ref="O91:P91"/>
    <mergeCell ref="L123:M123"/>
    <mergeCell ref="D138:E138"/>
    <mergeCell ref="N166:O166"/>
    <mergeCell ref="M189:N189"/>
    <mergeCell ref="N215:O215"/>
    <mergeCell ref="P241:Q241"/>
    <mergeCell ref="R258:S258"/>
    <mergeCell ref="D142:X146"/>
    <mergeCell ref="L167:M167"/>
    <mergeCell ref="N167:O167"/>
    <mergeCell ref="L166:M166"/>
    <mergeCell ref="N164:O164"/>
    <mergeCell ref="M90:N90"/>
    <mergeCell ref="M91:N91"/>
    <mergeCell ref="V138:Y138"/>
    <mergeCell ref="V166:Y166"/>
    <mergeCell ref="L209:M209"/>
    <mergeCell ref="P242:Q242"/>
    <mergeCell ref="L216:M216"/>
    <mergeCell ref="N216:O216"/>
    <mergeCell ref="K177:L177"/>
  </mergeCells>
  <conditionalFormatting sqref="K13:L13">
    <cfRule type="expression" dxfId="15" priority="8">
      <formula>$K$10="Non"</formula>
    </cfRule>
  </conditionalFormatting>
  <conditionalFormatting sqref="N118:Q118">
    <cfRule type="expression" dxfId="14" priority="4">
      <formula>$N$118&lt;&gt;""</formula>
    </cfRule>
  </conditionalFormatting>
  <conditionalFormatting sqref="O10:S10">
    <cfRule type="expression" dxfId="13" priority="9">
      <formula>$K$10="Non"</formula>
    </cfRule>
  </conditionalFormatting>
  <conditionalFormatting sqref="O12:S12">
    <cfRule type="expression" dxfId="12" priority="7">
      <formula>$O$12&lt;&gt;""</formula>
    </cfRule>
  </conditionalFormatting>
  <conditionalFormatting sqref="O13:S14">
    <cfRule type="expression" dxfId="11" priority="1">
      <formula>$O$13&lt;&gt;""</formula>
    </cfRule>
  </conditionalFormatting>
  <conditionalFormatting sqref="P154:S154">
    <cfRule type="expression" dxfId="10" priority="3">
      <formula>$P$154&lt;&gt;""</formula>
    </cfRule>
  </conditionalFormatting>
  <conditionalFormatting sqref="P84:T84">
    <cfRule type="expression" dxfId="9" priority="5">
      <formula>$P$84&lt;&gt;""</formula>
    </cfRule>
  </conditionalFormatting>
  <dataValidations count="2">
    <dataValidation type="list" allowBlank="1" showInputMessage="1" showErrorMessage="1" sqref="K24:L24 K10:L10 N237:O237 J133:K133" xr:uid="{00000000-0002-0000-0800-000000000000}">
      <formula1>"Oui,Non"</formula1>
    </dataValidation>
    <dataValidation type="whole" allowBlank="1" showInputMessage="1" showErrorMessage="1" sqref="K26:L27 K31:L37 K40:L44 M76:N78" xr:uid="{00000000-0002-0000-0800-000001000000}">
      <formula1>0</formula1>
      <formula2>100000</formula2>
    </dataValidation>
  </dataValidations>
  <pageMargins left="0.7" right="0.7" top="0.75" bottom="0.75" header="0.3" footer="0.3"/>
  <pageSetup paperSize="9" scale="55" fitToHeight="0" orientation="landscape" r:id="rId1"/>
  <drawing r:id="rId2"/>
</worksheet>
</file>

<file path=docMetadata/LabelInfo.xml><?xml version="1.0" encoding="utf-8"?>
<clbl:labelList xmlns:clbl="http://schemas.microsoft.com/office/2020/mipLabelMetadata">
  <clbl:label id="{6be7ebee-5b98-4973-86ef-ae3752ea54e7}" enabled="1" method="Privileged" siteId="{b9fec68c-c92d-461e-9a97-3d03a0f18b82}"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16</vt:i4>
      </vt:variant>
      <vt:variant>
        <vt:lpstr>Plages nommées</vt:lpstr>
      </vt:variant>
      <vt:variant>
        <vt:i4>2005</vt:i4>
      </vt:variant>
    </vt:vector>
  </HeadingPairs>
  <TitlesOfParts>
    <vt:vector size="2021" baseType="lpstr">
      <vt:lpstr>Suivi modif</vt:lpstr>
      <vt:lpstr>Accueil</vt:lpstr>
      <vt:lpstr>Identification</vt:lpstr>
      <vt:lpstr>Surfaces</vt:lpstr>
      <vt:lpstr>Surfaces_Horti</vt:lpstr>
      <vt:lpstr>Biodiversité</vt:lpstr>
      <vt:lpstr>Phyto</vt:lpstr>
      <vt:lpstr>Fertilisation</vt:lpstr>
      <vt:lpstr>Irrigation</vt:lpstr>
      <vt:lpstr>SYNTHESE</vt:lpstr>
      <vt:lpstr>OTEX</vt:lpstr>
      <vt:lpstr>Scoring_GC</vt:lpstr>
      <vt:lpstr>Scoring_Arboriculture</vt:lpstr>
      <vt:lpstr>Scoring_Viticulture</vt:lpstr>
      <vt:lpstr>Communes_07-26</vt:lpstr>
      <vt:lpstr>Synthese_coll_v1.05</vt:lpstr>
      <vt:lpstr>A_ACTIVITE_PRINCIPALE</vt:lpstr>
      <vt:lpstr>A_ACTIVITE_SECOND</vt:lpstr>
      <vt:lpstr>A_AUTRE_ACTIVITE</vt:lpstr>
      <vt:lpstr>ADRESSE_EXPLOITATION_SIEGE</vt:lpstr>
      <vt:lpstr>AJONC_N</vt:lpstr>
      <vt:lpstr>AJONC_N1</vt:lpstr>
      <vt:lpstr>AJONC_N2</vt:lpstr>
      <vt:lpstr>ALIGN_CONV_ARA</vt:lpstr>
      <vt:lpstr>ALIGN_CONV_SURF</vt:lpstr>
      <vt:lpstr>ALIGN_REEL_ARA</vt:lpstr>
      <vt:lpstr>ALIGN_REEL_SURF</vt:lpstr>
      <vt:lpstr>ALIGN_UNITE</vt:lpstr>
      <vt:lpstr>ALTER_POURCENTAGE_SURF_HORS_HORTI</vt:lpstr>
      <vt:lpstr>ALTER_POURCENTAGE_SURF_HORTI</vt:lpstr>
      <vt:lpstr>ALTER_RESULTAT_HORS_HORTI</vt:lpstr>
      <vt:lpstr>ALTER_RESULTAT_HORTI</vt:lpstr>
      <vt:lpstr>ALTER_SAU_HORS_HORTI</vt:lpstr>
      <vt:lpstr>ALTER_SURF_HORS_HORTI</vt:lpstr>
      <vt:lpstr>ALTER_SURF_HORTI</vt:lpstr>
      <vt:lpstr>ANALYSE_MICROBIO</vt:lpstr>
      <vt:lpstr>ANCIENNE_REGION</vt:lpstr>
      <vt:lpstr>ANNEE_CREATION_EXPLOITATION</vt:lpstr>
      <vt:lpstr>ARBO_ANC_PLAFOND_IFT_HERBICIDES</vt:lpstr>
      <vt:lpstr>ARBO_ANC_PLAFOND_IFT_HORS_HERBICIDES</vt:lpstr>
      <vt:lpstr>ARBO_ANC_PLANCHER_IFT_HERBICIDES</vt:lpstr>
      <vt:lpstr>ARBO_ANC_PLANCHER_IFT_HORS_HERBICIDES</vt:lpstr>
      <vt:lpstr>ARBO_ANCIENNE_NOTATION</vt:lpstr>
      <vt:lpstr>ARBO_CONDITION_ANCIENNE_NOTATION</vt:lpstr>
      <vt:lpstr>ARBO_IFT_REALISE_HERBICIDES</vt:lpstr>
      <vt:lpstr>ARBO_IFT_REALISE_HORS_HERBICIDES</vt:lpstr>
      <vt:lpstr>ARBO_IFT_REALISE_N_HERBICIDES</vt:lpstr>
      <vt:lpstr>ARBO_IFT_REALISE_N_HORS_HERBICIDES</vt:lpstr>
      <vt:lpstr>ARBO_IFT_REALISE_N1_HERBICIDES</vt:lpstr>
      <vt:lpstr>ARBO_IFT_REALISE_N1_HORS_HERBICIDES</vt:lpstr>
      <vt:lpstr>ARBO_IFT_REALISE_N2_HERBICIDES</vt:lpstr>
      <vt:lpstr>ARBO_IFT_REALISE_N2_HORS_HERBICIDES</vt:lpstr>
      <vt:lpstr>ARBO_MAX_POINTS</vt:lpstr>
      <vt:lpstr>ARBO_NB_2_VARIETES</vt:lpstr>
      <vt:lpstr>ARBO_NB_3_VARIETES</vt:lpstr>
      <vt:lpstr>ARBO_PLAFOND_IFT_HERBICIDES</vt:lpstr>
      <vt:lpstr>ARBO_PLAFOND_IFT_HORS_HERBICIDES</vt:lpstr>
      <vt:lpstr>ARBO_PLANCHER_IFT_HERBICIDES</vt:lpstr>
      <vt:lpstr>ARBO_PLANCHER_IFT_HORS_HERBICIDES</vt:lpstr>
      <vt:lpstr>ARBO_RESULTAT</vt:lpstr>
      <vt:lpstr>ARBO_RESULTAT_ANC_NOTATION_HERBICIDES</vt:lpstr>
      <vt:lpstr>ARBO_RESULTAT_ANC_NOTATION_HORS_HERBICIDES</vt:lpstr>
      <vt:lpstr>ARBO_RESULTAT_HERBICIDES</vt:lpstr>
      <vt:lpstr>ARBO_RESULTAT_HORS_HERBICIDES</vt:lpstr>
      <vt:lpstr>ARBO_SURF</vt:lpstr>
      <vt:lpstr>AUTRE_DEMARCHE1</vt:lpstr>
      <vt:lpstr>AUTRE_DEMARCHE2</vt:lpstr>
      <vt:lpstr>AUTRE_DEMARCHE3</vt:lpstr>
      <vt:lpstr>AUTRES_CEREALES_N</vt:lpstr>
      <vt:lpstr>AUTRES_CEREALES_N1</vt:lpstr>
      <vt:lpstr>AUTRES_CEREALES_N2</vt:lpstr>
      <vt:lpstr>AUTRES_CULTURES_INDUSTRIELLES_N</vt:lpstr>
      <vt:lpstr>AUTRES_CULTURES_INDUSTRIELLES_N1</vt:lpstr>
      <vt:lpstr>AUTRES_CULTURES_INDUSTRIELLES_N2</vt:lpstr>
      <vt:lpstr>AUTRES_CULTURES_PERMANENTES_N</vt:lpstr>
      <vt:lpstr>AUTRES_CULTURES_PERMANENTES_N1</vt:lpstr>
      <vt:lpstr>AUTRES_CULTURES_PERMANENTES_N2</vt:lpstr>
      <vt:lpstr>AUTRES_ELEMENTS_NATURELS_N</vt:lpstr>
      <vt:lpstr>AUTRES_ELEMENTS_NATURELS_N1</vt:lpstr>
      <vt:lpstr>AUTRES_ELEMENTS_NATURELS_N2</vt:lpstr>
      <vt:lpstr>AUTRES_FOURRAGES_N</vt:lpstr>
      <vt:lpstr>AUTRES_FOURRAGES_N1</vt:lpstr>
      <vt:lpstr>AUTRES_FOURRAGES_N2</vt:lpstr>
      <vt:lpstr>AUTRES_HORS_RUINES_CONV_SURF</vt:lpstr>
      <vt:lpstr>AUTRES_HORS_RUINES_REEL_SURF</vt:lpstr>
      <vt:lpstr>AUTRES_HORS_RUINES_UNITE</vt:lpstr>
      <vt:lpstr>AUTRES_OLEAGINEUX_N</vt:lpstr>
      <vt:lpstr>AUTRES_OLEAGINEUX_N1</vt:lpstr>
      <vt:lpstr>AUTRES_OLEAGINEUX_N2</vt:lpstr>
      <vt:lpstr>AUTRES_PRAIRIES_N</vt:lpstr>
      <vt:lpstr>AUTRES_PRAIRIES_N1</vt:lpstr>
      <vt:lpstr>AUTRES_PRAIRIES_N2</vt:lpstr>
      <vt:lpstr>AUTRES_PRATIQUES</vt:lpstr>
      <vt:lpstr>AUTRES_PROTEAGINEUX_N</vt:lpstr>
      <vt:lpstr>AUTRES_PROTEAGINEUX_N1</vt:lpstr>
      <vt:lpstr>AUTRES_PROTEAGINEUX_N2</vt:lpstr>
      <vt:lpstr>AUTRES_RUINES_CONV_SURF</vt:lpstr>
      <vt:lpstr>AUTRES_RUINES_REEL_SURF</vt:lpstr>
      <vt:lpstr>AUTRES_RUINES_UNITE</vt:lpstr>
      <vt:lpstr>AUTRES_SURF_NON_TRAITEES</vt:lpstr>
      <vt:lpstr>AUTRES_SURFACES_NON_FERTILISEES</vt:lpstr>
      <vt:lpstr>AUTRES_SURFACIQUES_CONV_SURF</vt:lpstr>
      <vt:lpstr>AUTRES_SURFACIQUES_REEL_SURF</vt:lpstr>
      <vt:lpstr>AUTRES_SURFACIQUES_UNITE</vt:lpstr>
      <vt:lpstr>BANDES_CONV_SURF</vt:lpstr>
      <vt:lpstr>BANDES_REEL_SURF</vt:lpstr>
      <vt:lpstr>BANDES_UNITE</vt:lpstr>
      <vt:lpstr>BASSIN_VITICOLE_CORRIGE</vt:lpstr>
      <vt:lpstr>BASSIN_VITICOLE_EXPLOITATION_SIEGE</vt:lpstr>
      <vt:lpstr>BASSIN_VITICOLE_UTILISE</vt:lpstr>
      <vt:lpstr>BENDES_REEL_SURF</vt:lpstr>
      <vt:lpstr>BETTERAVES_INDUSTRIELLES_N</vt:lpstr>
      <vt:lpstr>BETTERAVES_INDUSTRIELLES_N1</vt:lpstr>
      <vt:lpstr>BETTERAVES_INDUSTRIELLES_N2</vt:lpstr>
      <vt:lpstr>BGA_BALANCE_APRES_ENGRAIS_N</vt:lpstr>
      <vt:lpstr>BGA_BALANCE_APRES_ENGRAIS_N1</vt:lpstr>
      <vt:lpstr>BGA_BALANCE_APRES_ENGRAIS_N2</vt:lpstr>
      <vt:lpstr>BGA_BALANCE_AVANT_ENGRAIS_N</vt:lpstr>
      <vt:lpstr>BGA_BALANCE_AVANT_ENGRAIS_N1</vt:lpstr>
      <vt:lpstr>BGA_BALANCE_AVANT_ENGRAIS_N2</vt:lpstr>
      <vt:lpstr>BGA_ENTREE_E1_1_N</vt:lpstr>
      <vt:lpstr>BGA_ENTREE_E1_1_N1</vt:lpstr>
      <vt:lpstr>BGA_ENTREE_E1_1_N2</vt:lpstr>
      <vt:lpstr>BGA_ENTREE_E1_2_N</vt:lpstr>
      <vt:lpstr>BGA_ENTREE_E1_2_N1</vt:lpstr>
      <vt:lpstr>BGA_ENTREE_E1_2_N2</vt:lpstr>
      <vt:lpstr>BGA_ENTREE_E2_N</vt:lpstr>
      <vt:lpstr>BGA_ENTREE_E2_N1</vt:lpstr>
      <vt:lpstr>BGA_ENTREE_E2_N2</vt:lpstr>
      <vt:lpstr>BGA_ENTREE_E3_N</vt:lpstr>
      <vt:lpstr>BGA_ENTREE_E3_N1</vt:lpstr>
      <vt:lpstr>BGA_ENTREE_E3_N2</vt:lpstr>
      <vt:lpstr>BGA_SORTIE_E1_3_N</vt:lpstr>
      <vt:lpstr>BGA_SORTIE_E1_3_N1</vt:lpstr>
      <vt:lpstr>BGA_SORTIE_E1_3_N2</vt:lpstr>
      <vt:lpstr>BGA_SORTIE_S1_1_N</vt:lpstr>
      <vt:lpstr>BGA_SORTIE_S1_1_N1</vt:lpstr>
      <vt:lpstr>BGA_SORTIE_S1_1_N2</vt:lpstr>
      <vt:lpstr>BGA_SORTIE_S1_2_N</vt:lpstr>
      <vt:lpstr>BGA_SORTIE_S1_2_N1</vt:lpstr>
      <vt:lpstr>BGA_SORTIE_S1_2_N2</vt:lpstr>
      <vt:lpstr>BGA_SORTIE_S1_3_N</vt:lpstr>
      <vt:lpstr>BGA_SORTIE_S1_3_N1</vt:lpstr>
      <vt:lpstr>BGA_SORTIE_S1_3_N2</vt:lpstr>
      <vt:lpstr>BIL_AP_BALANCE_APRES_ENGRAIS_N</vt:lpstr>
      <vt:lpstr>BIL_AP_BALANCE_APRES_ENGRAIS_N1</vt:lpstr>
      <vt:lpstr>BIL_AP_BALANCE_APRES_ENGRAIS_N2</vt:lpstr>
      <vt:lpstr>BIL_AP_BALANCE_AVANT_ENGRAIS_N</vt:lpstr>
      <vt:lpstr>BIL_AP_BALANCE_AVANT_ENGRAIS_N1</vt:lpstr>
      <vt:lpstr>BIL_AP_BALANCE_AVANT_ENGRAIS_N2</vt:lpstr>
      <vt:lpstr>BIL_AP_ENTREE_E1_N</vt:lpstr>
      <vt:lpstr>BIL_AP_ENTREE_E1_N1</vt:lpstr>
      <vt:lpstr>BIL_AP_ENTREE_E1_N2</vt:lpstr>
      <vt:lpstr>BIL_AP_ENTREE_E2_1_N</vt:lpstr>
      <vt:lpstr>BIL_AP_ENTREE_E2_1_N1</vt:lpstr>
      <vt:lpstr>BIL_AP_ENTREE_E2_1_N2</vt:lpstr>
      <vt:lpstr>BIL_AP_ENTREE_E2_2_N</vt:lpstr>
      <vt:lpstr>BIL_AP_ENTREE_E2_2_N1</vt:lpstr>
      <vt:lpstr>BIL_AP_ENTREE_E2_2_N2</vt:lpstr>
      <vt:lpstr>BIL_AP_ENTREE_E2_3_N</vt:lpstr>
      <vt:lpstr>BIL_AP_ENTREE_E2_3_N1</vt:lpstr>
      <vt:lpstr>BIL_AP_ENTREE_E2_3_N2</vt:lpstr>
      <vt:lpstr>BIL_AP_ENTREE_E3_N</vt:lpstr>
      <vt:lpstr>BIL_AP_ENTREE_E3_N1</vt:lpstr>
      <vt:lpstr>BIL_AP_ENTREE_E3_N2</vt:lpstr>
      <vt:lpstr>BIL_AP_ENTREE_E4_N</vt:lpstr>
      <vt:lpstr>BIL_AP_ENTREE_E4_N1</vt:lpstr>
      <vt:lpstr>BIL_AP_ENTREE_E4_N2</vt:lpstr>
      <vt:lpstr>BIL_AP_SORTIE_S1_N</vt:lpstr>
      <vt:lpstr>BIL_AP_SORTIE_S1_N1</vt:lpstr>
      <vt:lpstr>BIL_AP_SORTIE_S1_N2</vt:lpstr>
      <vt:lpstr>BIL_AP_SORTIE_S2_N</vt:lpstr>
      <vt:lpstr>BIL_AP_SORTIE_S2_N1</vt:lpstr>
      <vt:lpstr>BIL_AP_SORTIE_S2_N2</vt:lpstr>
      <vt:lpstr>BIL_AP_SORTIE_S3_N</vt:lpstr>
      <vt:lpstr>BIL_AP_SORTIE_S3_N1</vt:lpstr>
      <vt:lpstr>BIL_AP_SORTIE_S3_N2</vt:lpstr>
      <vt:lpstr>BIL_AP_SORTIE_S4_N</vt:lpstr>
      <vt:lpstr>BIL_AP_SORTIE_S4_N1</vt:lpstr>
      <vt:lpstr>BIL_AP_SORTIE_S4_N2</vt:lpstr>
      <vt:lpstr>BLE_DUR_N</vt:lpstr>
      <vt:lpstr>BLE_DUR_N1</vt:lpstr>
      <vt:lpstr>BLE_DUR_N2</vt:lpstr>
      <vt:lpstr>BLE_TENDRE_N</vt:lpstr>
      <vt:lpstr>BLE_TENDRE_N1</vt:lpstr>
      <vt:lpstr>BLE_TENDRE_N2</vt:lpstr>
      <vt:lpstr>BORDURES_OBL_CONV_ARA</vt:lpstr>
      <vt:lpstr>BORDURES_OBL_REEL_ARA</vt:lpstr>
      <vt:lpstr>BORDURES_OBL_UNITE</vt:lpstr>
      <vt:lpstr>BORDURES_POIDS_CONV_SURF</vt:lpstr>
      <vt:lpstr>BORDURES_POIDS_REEL_SURF</vt:lpstr>
      <vt:lpstr>BORDURES_POIDS_UNITE</vt:lpstr>
      <vt:lpstr>BOSQUETS_CONV_ARA</vt:lpstr>
      <vt:lpstr>BOSQUETS_CONV_SURF</vt:lpstr>
      <vt:lpstr>BOSQUETS_REEL_ARA</vt:lpstr>
      <vt:lpstr>BOSQUETS_REEL_SURF</vt:lpstr>
      <vt:lpstr>BOSQUETS_UNITE</vt:lpstr>
      <vt:lpstr>CALCUL_POINTS_PRATIQUES</vt:lpstr>
      <vt:lpstr>CAMPAGNE_EVALUEE</vt:lpstr>
      <vt:lpstr>cCampagneN</vt:lpstr>
      <vt:lpstr>cCampagneN1</vt:lpstr>
      <vt:lpstr>CCampagneN2</vt:lpstr>
      <vt:lpstr>cCMR2</vt:lpstr>
      <vt:lpstr>CHANVRE_LIN_N</vt:lpstr>
      <vt:lpstr>CHANVRE_LIN_N1</vt:lpstr>
      <vt:lpstr>CHANVRE_LIN_N2</vt:lpstr>
      <vt:lpstr>CHEMIN_RAMPE_N</vt:lpstr>
      <vt:lpstr>CHEMIN_RAMPE_N1</vt:lpstr>
      <vt:lpstr>CHEMIN_RAMPE_N2</vt:lpstr>
      <vt:lpstr>cIrriguante</vt:lpstr>
      <vt:lpstr>CODE_A_ACTIVITE_PRINCIPALE</vt:lpstr>
      <vt:lpstr>CODE_A_ACTIVITE_SECOND</vt:lpstr>
      <vt:lpstr>CODE_A_AUTRE_ACTIVITE</vt:lpstr>
      <vt:lpstr>CODE_DEMARCHE_NIV2</vt:lpstr>
      <vt:lpstr>CODE_POSTAL_EXPLOITATION_SIEGE</vt:lpstr>
      <vt:lpstr>CODE_STATUT_JURIDIQUE</vt:lpstr>
      <vt:lpstr>CODE_V_ACTIVITE_PRINCIPALE</vt:lpstr>
      <vt:lpstr>CODE_V_ACTIVITE_SECOND</vt:lpstr>
      <vt:lpstr>CODE_V_AUTRE_ACTIVITE</vt:lpstr>
      <vt:lpstr>COLZA_NAVETTE_N</vt:lpstr>
      <vt:lpstr>COLZA_NAVETTE_N1</vt:lpstr>
      <vt:lpstr>COLZA_NAVETTE_N2</vt:lpstr>
      <vt:lpstr>COMMUNE_EXPLOITATION_SIEGE</vt:lpstr>
      <vt:lpstr>COMPLEMENT_ADRESSE_EXPLOITATION_SIEGE</vt:lpstr>
      <vt:lpstr>CONCERNE_SURF_CULTUREES_ANNUELLES</vt:lpstr>
      <vt:lpstr>CONCERNE_SURF_CULTUREES_PERENNES</vt:lpstr>
      <vt:lpstr>CORRECTION_NOMBRE_POINTS</vt:lpstr>
      <vt:lpstr>COUVERT_VEG_ARBO</vt:lpstr>
      <vt:lpstr>COUVERT_VEG_HORTI</vt:lpstr>
      <vt:lpstr>COUVERT_VEG_VIGNES</vt:lpstr>
      <vt:lpstr>COUVERTURE_HORS_CULTURES_PERENNES</vt:lpstr>
      <vt:lpstr>cRegion</vt:lpstr>
      <vt:lpstr>CRITERE_OBLIGATOIRE</vt:lpstr>
      <vt:lpstr>cSAU</vt:lpstr>
      <vt:lpstr>cTypeAudit</vt:lpstr>
      <vt:lpstr>CULTURE_IRRIGUEE</vt:lpstr>
      <vt:lpstr>CULTURES_HORS_SOL_2_VARIETES</vt:lpstr>
      <vt:lpstr>CULTURES_HORS_SOL_3_VARIETES</vt:lpstr>
      <vt:lpstr>CULTURES_MINEURES_POURCENTAGE_SURF_PPF</vt:lpstr>
      <vt:lpstr>CULTURES_MINEURES_POURCENTAGE_SURF_PPF_AJ_ODP</vt:lpstr>
      <vt:lpstr>CULTURES_MINEURES_RESULTAT_PPF</vt:lpstr>
      <vt:lpstr>CULTURES_MINEURES_RESULTAT_PPF_AJ_ODP</vt:lpstr>
      <vt:lpstr>CULTURES_MINEURES_SURF_UTILISATION_PPF</vt:lpstr>
      <vt:lpstr>CULTURES_MINEURES_SURF_UTILISATION_PPF_AJ</vt:lpstr>
      <vt:lpstr>CVI_EXPLOITATION</vt:lpstr>
      <vt:lpstr>DATE_AUDIT</vt:lpstr>
      <vt:lpstr>DATE_DECISION</vt:lpstr>
      <vt:lpstr>DATE_PERIODE_APPORT</vt:lpstr>
      <vt:lpstr>DATE_SEMIS</vt:lpstr>
      <vt:lpstr>DECISION_AUDIT</vt:lpstr>
      <vt:lpstr>DEMARCHE_COLLECTIVE</vt:lpstr>
      <vt:lpstr>DEMARCHE_NIV2</vt:lpstr>
      <vt:lpstr>DEPARTEMENT_EXPLOITATION_SIEGE</vt:lpstr>
      <vt:lpstr>DEROGATION_CMR1</vt:lpstr>
      <vt:lpstr>DESCRIPTION_MATERIEL_UTILISE</vt:lpstr>
      <vt:lpstr>DESCRIPTION_PRATIQUES_AGRO</vt:lpstr>
      <vt:lpstr>DESHYDRATATION_N</vt:lpstr>
      <vt:lpstr>DESHYDRATATION_N1</vt:lpstr>
      <vt:lpstr>DESHYDRATATION_N2</vt:lpstr>
      <vt:lpstr>DIVERSITE_VIGNE</vt:lpstr>
      <vt:lpstr>DUREE_AUDIT</vt:lpstr>
      <vt:lpstr>ELEMENTS_ARTIFICIELS_N</vt:lpstr>
      <vt:lpstr>ELEMENTS_ARTIFICIELS_N1</vt:lpstr>
      <vt:lpstr>ELEMENTS_ARTIFICIELS_N2</vt:lpstr>
      <vt:lpstr>EMAIL_EXPLOITATION</vt:lpstr>
      <vt:lpstr>ENREGISTREMENT_PRATIQUES_IRRIGATION</vt:lpstr>
      <vt:lpstr>EQUIV_NB_ESPECES_SEMEES_PURES</vt:lpstr>
      <vt:lpstr>EQUIV_PART_PP</vt:lpstr>
      <vt:lpstr>EQUIV_SURF_SEMEES_COMPLEXE</vt:lpstr>
      <vt:lpstr>EQUIV_SURF_SEMEES_GRAMINEES</vt:lpstr>
      <vt:lpstr>EQUIV_SURF_SEMEES_LEGUMINEUSE</vt:lpstr>
      <vt:lpstr>ESPACE_DEUX_SERRES_N</vt:lpstr>
      <vt:lpstr>ESPACE_DEUX_SERRES_N1</vt:lpstr>
      <vt:lpstr>ESPACE_DEUX_SERRES_N2</vt:lpstr>
      <vt:lpstr>ESTIMATION_VOLUME_APPORT</vt:lpstr>
      <vt:lpstr>EXPLOIT_IRRIGANTE</vt:lpstr>
      <vt:lpstr>FACTEUR_DECLENCHANT_IRRIGATION</vt:lpstr>
      <vt:lpstr>FOSSE_CONV_ARA</vt:lpstr>
      <vt:lpstr>FOSSE_CONV_SURF</vt:lpstr>
      <vt:lpstr>FOSSE_REEL_ARA</vt:lpstr>
      <vt:lpstr>FOSSE_REEL_SURF</vt:lpstr>
      <vt:lpstr>FOSSE_UNITE</vt:lpstr>
      <vt:lpstr>FUMIER_N</vt:lpstr>
      <vt:lpstr>FUMIER_N1</vt:lpstr>
      <vt:lpstr>FUMIER_N2</vt:lpstr>
      <vt:lpstr>GC_ANC_PLAFOND_IFT_HERBICIDES</vt:lpstr>
      <vt:lpstr>GC_ANC_PLAFOND_IFT_HORS_HERBICIDES</vt:lpstr>
      <vt:lpstr>GC_ANC_PLANCHER_IFT_HERBICIDES</vt:lpstr>
      <vt:lpstr>GC_ANC_PLANCHER_IFT_HORS_HERBICIDES</vt:lpstr>
      <vt:lpstr>GC_ANCIENNE_NOTATION</vt:lpstr>
      <vt:lpstr>GC_CONDITION_ANCIENNE_NOTATION</vt:lpstr>
      <vt:lpstr>GC_IFT_REALISE_HERBICIDES</vt:lpstr>
      <vt:lpstr>GC_IFT_REALISE_HORS_HERBICIDES</vt:lpstr>
      <vt:lpstr>GC_IFT_REALISE_N_HERBICIDES</vt:lpstr>
      <vt:lpstr>GC_IFT_REALISE_N_HORS_HERBICIDES</vt:lpstr>
      <vt:lpstr>GC_IFT_REALISE_N1_HERBICIDES</vt:lpstr>
      <vt:lpstr>GC_IFT_REALISE_N1_HORS_HERBICIDES</vt:lpstr>
      <vt:lpstr>GC_IFT_REALISE_N2_HERBICIDES</vt:lpstr>
      <vt:lpstr>GC_IFT_REALISE_N2_HORS_HERBICIDES</vt:lpstr>
      <vt:lpstr>GC_MAX_POINTS</vt:lpstr>
      <vt:lpstr>GC_PLAFOND_IFT_HERBICIDES</vt:lpstr>
      <vt:lpstr>GC_PLAFOND_IFT_HORS_HERBICIDES</vt:lpstr>
      <vt:lpstr>GC_PLANCHER_IFT_HERBICIDES</vt:lpstr>
      <vt:lpstr>GC_PLANCHER_IFT_HORS_HERBICIDES</vt:lpstr>
      <vt:lpstr>GC_POURCENTAGE_SURF_CONCERNEE_ODP</vt:lpstr>
      <vt:lpstr>GC_POURCENTAGE_SURF_CONCERNEE_OPI</vt:lpstr>
      <vt:lpstr>GC_POURCENTAGE_SURF_CONCERNEE_PPF_AJ</vt:lpstr>
      <vt:lpstr>GC_RESULTAT</vt:lpstr>
      <vt:lpstr>GC_RESULTAT_ANC_NOTATION_HERBICIDES</vt:lpstr>
      <vt:lpstr>GC_RESULTAT_ANC_NOTATION_HORS_HERBICIDES</vt:lpstr>
      <vt:lpstr>GC_RESULTAT_HERBICIDES</vt:lpstr>
      <vt:lpstr>GC_RESULTAT_HORS_HERBICIDES</vt:lpstr>
      <vt:lpstr>GC_RESULTAT_ODP</vt:lpstr>
      <vt:lpstr>GC_RESULTAT_OPI</vt:lpstr>
      <vt:lpstr>GC_RESULTAT_PPF_AJ</vt:lpstr>
      <vt:lpstr>GC_RESULTAT_UTILISATION_OUTIL_PPF</vt:lpstr>
      <vt:lpstr>GC_SURF</vt:lpstr>
      <vt:lpstr>GC_SURF_UTILISATION_ODP</vt:lpstr>
      <vt:lpstr>GC_SURF_UTILISATION_OPI</vt:lpstr>
      <vt:lpstr>GC_SURF_UTILISATION_PPF</vt:lpstr>
      <vt:lpstr>GC_SURF_UTILISATION_PPF_AJ</vt:lpstr>
      <vt:lpstr>GC_UTILISATION_OUTIL_PPF</vt:lpstr>
      <vt:lpstr>GESCO_NATURE_AUDIT</vt:lpstr>
      <vt:lpstr>GESCO_NOM_SC</vt:lpstr>
      <vt:lpstr>GESCO_SIRET_SC</vt:lpstr>
      <vt:lpstr>HAIE_CONV_ARA</vt:lpstr>
      <vt:lpstr>HAIE_CONV_SURF</vt:lpstr>
      <vt:lpstr>HAIE_REEL_ARA</vt:lpstr>
      <vt:lpstr>HAIE_REEL_SURF</vt:lpstr>
      <vt:lpstr>HAIE_UNITE</vt:lpstr>
      <vt:lpstr>HORS_ZONE_VULNERABLE_COUVERTE</vt:lpstr>
      <vt:lpstr>HORS_ZONE_VULNERABLE_NB_SEMAINES_COUVERT</vt:lpstr>
      <vt:lpstr>HORS_ZONE_VULNERABLE_POURCENT_SAU_HORS_VITI_ARBO_HORTI</vt:lpstr>
      <vt:lpstr>HORS_ZONE_VULNERABLE_POURCENT_SURF_HORS_VITI_ARBO_HORTI</vt:lpstr>
      <vt:lpstr>HORS_ZONE_VULNERABLE_RESPECT_DUREE_REGLEMENTAIRE</vt:lpstr>
      <vt:lpstr>HORS_ZONE_VULNERABLE_SURF_TOTALE_CONCERNEE</vt:lpstr>
      <vt:lpstr>IAE_EXHAUSTIF</vt:lpstr>
      <vt:lpstr>ISOLE_CONV_ARA</vt:lpstr>
      <vt:lpstr>ISOLE_CONV_SURF</vt:lpstr>
      <vt:lpstr>ISOLE_REEL_ARA</vt:lpstr>
      <vt:lpstr>ISOLE_REEL_SURF</vt:lpstr>
      <vt:lpstr>ISOLE_UNITE</vt:lpstr>
      <vt:lpstr>JACHERE_5ANS_MOINS_N</vt:lpstr>
      <vt:lpstr>JACHERE_5ANS_MOINS_N1</vt:lpstr>
      <vt:lpstr>JACHERE_5ANS_MOINS_N2</vt:lpstr>
      <vt:lpstr>JACHERE_6ANS_PLUS_N</vt:lpstr>
      <vt:lpstr>JACHERE_6ANS_PLUS_N1</vt:lpstr>
      <vt:lpstr>JACHERE_6ANS_PLUS_N2</vt:lpstr>
      <vt:lpstr>JACHERE_CONV_ARA</vt:lpstr>
      <vt:lpstr>JACHERE_CONV_SURF</vt:lpstr>
      <vt:lpstr>JACHERE_MELLI_CONV_ARA</vt:lpstr>
      <vt:lpstr>JACHERE_MELLI_CONV_SURF</vt:lpstr>
      <vt:lpstr>JACHERE_MELLI_REEL_ARA</vt:lpstr>
      <vt:lpstr>JACHERE_MELLI_REEL_SURF</vt:lpstr>
      <vt:lpstr>JACHERE_MELLI_UNITE</vt:lpstr>
      <vt:lpstr>JACHERE_NOIRE_N</vt:lpstr>
      <vt:lpstr>JACHERE_NOIRE_N1</vt:lpstr>
      <vt:lpstr>JACHERE_NOIRE_N2</vt:lpstr>
      <vt:lpstr>JACHERE_REEL_ARA</vt:lpstr>
      <vt:lpstr>JACHERE_REEL_SURF</vt:lpstr>
      <vt:lpstr>JACHERE_UNITE</vt:lpstr>
      <vt:lpstr>LEG_FRUITS_2_VARIETES</vt:lpstr>
      <vt:lpstr>LEG_FRUITS_3_VARIETES</vt:lpstr>
      <vt:lpstr>LEG_FRUITS_NB_ESPECES</vt:lpstr>
      <vt:lpstr>LEGUMES_FLEURS_PLEIN_AIR_N</vt:lpstr>
      <vt:lpstr>LEGUMES_FLEURS_PLEIN_AIR_N1</vt:lpstr>
      <vt:lpstr>LEGUMES_FLEURS_PLEIN_AIR_N2</vt:lpstr>
      <vt:lpstr>LEGUMES_FLEURS_SERRE_N</vt:lpstr>
      <vt:lpstr>LEGUMES_FLEURS_SERRE_N1</vt:lpstr>
      <vt:lpstr>LEGUMES_FLEURS_SERRE_N2</vt:lpstr>
      <vt:lpstr>LEGUMES_FLEURS_TUNNEL_N</vt:lpstr>
      <vt:lpstr>LEGUMES_FLEURS_TUNNEL_N1</vt:lpstr>
      <vt:lpstr>LEGUMES_FLEURS_TUNNEL_N2</vt:lpstr>
      <vt:lpstr>LEGUMES_SEC_N</vt:lpstr>
      <vt:lpstr>LEGUMES_SEC_N1</vt:lpstr>
      <vt:lpstr>LEGUMES_SEC_N2</vt:lpstr>
      <vt:lpstr>LISTE_MATERIEL_UTILISE</vt:lpstr>
      <vt:lpstr>LISTE_MATERIELS_METHODES</vt:lpstr>
      <vt:lpstr>LOCALISATION_AUDIT_INTERNE</vt:lpstr>
      <vt:lpstr>LstAOCBeaujolais</vt:lpstr>
      <vt:lpstr>lstDecisionInitial</vt:lpstr>
      <vt:lpstr>lstDecisionRenouvellement</vt:lpstr>
      <vt:lpstr>lstDecisionSuivi</vt:lpstr>
      <vt:lpstr>lstLocalisationAuditInterne</vt:lpstr>
      <vt:lpstr>lstNatureAudit</vt:lpstr>
      <vt:lpstr>LstNordSud</vt:lpstr>
      <vt:lpstr>lstTypeAuditCollectif</vt:lpstr>
      <vt:lpstr>lstTypeAuditIndividuel</vt:lpstr>
      <vt:lpstr>lstVide</vt:lpstr>
      <vt:lpstr>MAIS_FOURRAGE_ENSILAGE_N</vt:lpstr>
      <vt:lpstr>MAIS_FOURRAGE_ENSILAGE_N1</vt:lpstr>
      <vt:lpstr>MAIS_FOURRAGE_ENSILAGE_N2</vt:lpstr>
      <vt:lpstr>MAIS_N</vt:lpstr>
      <vt:lpstr>MAIS_N1</vt:lpstr>
      <vt:lpstr>MAIS_N2</vt:lpstr>
      <vt:lpstr>MARAIS_SALANTS_N</vt:lpstr>
      <vt:lpstr>MARAIS_SALANTS_N1</vt:lpstr>
      <vt:lpstr>MARAIS_SALANTS_N2</vt:lpstr>
      <vt:lpstr>MARE_CONV_ARA</vt:lpstr>
      <vt:lpstr>MARE_CONV_SURF</vt:lpstr>
      <vt:lpstr>MARE_REEL_ARA</vt:lpstr>
      <vt:lpstr>MARE_REEL_SURF</vt:lpstr>
      <vt:lpstr>MARE_UNITE</vt:lpstr>
      <vt:lpstr>MATERIEL_UTILISE</vt:lpstr>
      <vt:lpstr>MAX_NOTE_GLOBALE_IRRIGATION</vt:lpstr>
      <vt:lpstr>MAX_POINTS_APPORTS_FERTILISANTS</vt:lpstr>
      <vt:lpstr>MAX_POINTS_AZOTE_ORGA</vt:lpstr>
      <vt:lpstr>MAX_POINTS_BILAN_AZOTE</vt:lpstr>
      <vt:lpstr>MAX_POINTS_BIODIVERSITE</vt:lpstr>
      <vt:lpstr>MAX_POINTS_CMR</vt:lpstr>
      <vt:lpstr>MAX_POINTS_COUVERT_VEGETAL</vt:lpstr>
      <vt:lpstr>MAX_POINTS_COUVERTURE_SOLS</vt:lpstr>
      <vt:lpstr>MAX_POINTS_DEMARCHE_COLL</vt:lpstr>
      <vt:lpstr>MAX_POINTS_DIVERSITE</vt:lpstr>
      <vt:lpstr>MAX_POINTS_FERTILISATION</vt:lpstr>
      <vt:lpstr>MAX_POINTS_IAE</vt:lpstr>
      <vt:lpstr>MAX_POINTS_LEGUMINEUSES</vt:lpstr>
      <vt:lpstr>MAX_POINTS_MATERIEL_UTILISE</vt:lpstr>
      <vt:lpstr>MAX_POINTS_MENACEES</vt:lpstr>
      <vt:lpstr>MAX_POINTS_METHODES_ALTERNATIVES</vt:lpstr>
      <vt:lpstr>MAX_POINTS_NB_ESPECES_ANIMALES_ELEVEES</vt:lpstr>
      <vt:lpstr>MAX_POINTS_NB_ESPECES_VEG_CULTIVEES</vt:lpstr>
      <vt:lpstr>MAX_POINTS_OAD</vt:lpstr>
      <vt:lpstr>MAX_POINTS_PHYTO</vt:lpstr>
      <vt:lpstr>MAX_POINTS_POIDS_CULTURE_PRINCIPALE</vt:lpstr>
      <vt:lpstr>MAX_POINTS_PRATIQUES</vt:lpstr>
      <vt:lpstr>MAX_POINTS_PRATIQUES_AGRO</vt:lpstr>
      <vt:lpstr>MAX_POINTS_PRESENCE_RUCHES</vt:lpstr>
      <vt:lpstr>MAX_POINTS_QUALITE_BIO_SOL</vt:lpstr>
      <vt:lpstr>MAX_POINTS_QUANTITE_AZOTE</vt:lpstr>
      <vt:lpstr>MAX_POINTS_RECUP_EAU_PLUIE</vt:lpstr>
      <vt:lpstr>MAX_POINTS_RECYCLAGE</vt:lpstr>
      <vt:lpstr>MAX_POINTS_RECYCLAGE_TRAITEMENT</vt:lpstr>
      <vt:lpstr>MAX_POINTS_RECYCLAGE_TRAITEMENT_EAUX_IRRIG</vt:lpstr>
      <vt:lpstr>MAX_POINTS_SAU_NON_FERTILISEE</vt:lpstr>
      <vt:lpstr>MAX_POINTS_SUBST_ACT</vt:lpstr>
      <vt:lpstr>MAX_POINTS_SURF_NON_TRAITEE</vt:lpstr>
      <vt:lpstr>MAX_POINTS_SURVEILLANCE</vt:lpstr>
      <vt:lpstr>MAX_POINTS_TAILLES_PARCELLES</vt:lpstr>
      <vt:lpstr>MAX_POINTS_UTILISATION_MATERIEL</vt:lpstr>
      <vt:lpstr>MAX_POINTS_UTILISATION_OUTILS</vt:lpstr>
      <vt:lpstr>MAX_PRELEVE_ETIAGE</vt:lpstr>
      <vt:lpstr>MELANGES_CULTURE_N</vt:lpstr>
      <vt:lpstr>MELANGES_CULTURE_N1</vt:lpstr>
      <vt:lpstr>MELANGES_CULTURE_N2</vt:lpstr>
      <vt:lpstr>METHODE_CALCUL_RETENUE</vt:lpstr>
      <vt:lpstr>MODE_IRRIGATION</vt:lpstr>
      <vt:lpstr>MUR_CONV_ARA</vt:lpstr>
      <vt:lpstr>MUR_CONV_SURF</vt:lpstr>
      <vt:lpstr>MUR_REEL_ARA</vt:lpstr>
      <vt:lpstr>MUR_REEL_SURF</vt:lpstr>
      <vt:lpstr>MUR_UNITE</vt:lpstr>
      <vt:lpstr>NB_APPORTS_EAU</vt:lpstr>
      <vt:lpstr>NB_ARBO</vt:lpstr>
      <vt:lpstr>NB_AUTRES_CULT_ARABLES</vt:lpstr>
      <vt:lpstr>NB_CAMPAGNE_BILAN_AZOTE</vt:lpstr>
      <vt:lpstr>NB_CAMPAGNE_IFT</vt:lpstr>
      <vt:lpstr>NB_CAMPAGNE_QUANTITE_AZOTE</vt:lpstr>
      <vt:lpstr>NB_CAMPAGNES_CONCERNEES</vt:lpstr>
      <vt:lpstr>NB_CULTURES_FOURRAGERES</vt:lpstr>
      <vt:lpstr>NB_CULTURES_HORS_SOL</vt:lpstr>
      <vt:lpstr>NB_DONNEES_A_ENREGISTRER</vt:lpstr>
      <vt:lpstr>NB_DONNEES_MANQUANTES</vt:lpstr>
      <vt:lpstr>NB_ESPECES_AUTRES</vt:lpstr>
      <vt:lpstr>NB_ESPECES_BOVINES</vt:lpstr>
      <vt:lpstr>NB_ESPECES_CAPRINES</vt:lpstr>
      <vt:lpstr>NB_ESPECES_OVINES</vt:lpstr>
      <vt:lpstr>NB_ESPECES_PORCINES</vt:lpstr>
      <vt:lpstr>NB_ESPECES_SEMEES</vt:lpstr>
      <vt:lpstr>NB_ESPECES_VOLAILLES</vt:lpstr>
      <vt:lpstr>NB_FLEURS</vt:lpstr>
      <vt:lpstr>NB_LEG_FRUITS_HORS_ARBO</vt:lpstr>
      <vt:lpstr>NB_MATERIEL_UTILISE</vt:lpstr>
      <vt:lpstr>NB_OUTILS_EVAL_DEMANDE</vt:lpstr>
      <vt:lpstr>NB_OUTILS_EVAL_OFFRE</vt:lpstr>
      <vt:lpstr>NB_OUTILS_MIXTE</vt:lpstr>
      <vt:lpstr>NB_PARCELLES_IRRIGUEES</vt:lpstr>
      <vt:lpstr>NB_RACES_ANIMALES_MENACEES</vt:lpstr>
      <vt:lpstr>NB_RUCHES</vt:lpstr>
      <vt:lpstr>NB_TYPE_IAE</vt:lpstr>
      <vt:lpstr>NB_VAR_VEG_MENACEES</vt:lpstr>
      <vt:lpstr>NB_VIGNES</vt:lpstr>
      <vt:lpstr>NOM_AUDITEUR</vt:lpstr>
      <vt:lpstr>NOM_CULTURE_PRINCIPALE</vt:lpstr>
      <vt:lpstr>NOM_DEMARCHE_COLLECTIVE</vt:lpstr>
      <vt:lpstr>NOM_EXPLOITANT</vt:lpstr>
      <vt:lpstr>NOMS_MENACEES</vt:lpstr>
      <vt:lpstr>NOTE_GLOBALE_BIODIVERSITE</vt:lpstr>
      <vt:lpstr>NOTE_GLOBALE_FERTILISATION</vt:lpstr>
      <vt:lpstr>NOTE_GLOBALE_IRRIGATION</vt:lpstr>
      <vt:lpstr>NOTE_GLOBALE_PHYTO</vt:lpstr>
      <vt:lpstr>NUMERO_EXPLOITATION_SIEGE</vt:lpstr>
      <vt:lpstr>OBL_HERBE</vt:lpstr>
      <vt:lpstr>OBL_PART_IAE_CONCERNE</vt:lpstr>
      <vt:lpstr>OBL_PRAIRIES</vt:lpstr>
      <vt:lpstr>OBL_SOCLE_ITEM</vt:lpstr>
      <vt:lpstr>OBL_SURF_IAE</vt:lpstr>
      <vt:lpstr>OBL_TERRES_ARA</vt:lpstr>
      <vt:lpstr>ORGA_AUDITEUR</vt:lpstr>
      <vt:lpstr>ORGE_N</vt:lpstr>
      <vt:lpstr>ORGE_N1</vt:lpstr>
      <vt:lpstr>ORGE_N2</vt:lpstr>
      <vt:lpstr>ORIGINE_EAU</vt:lpstr>
      <vt:lpstr>OTEX</vt:lpstr>
      <vt:lpstr>OTEX_CONCERNE</vt:lpstr>
      <vt:lpstr>OUTIL_DIAGNOSTIC</vt:lpstr>
      <vt:lpstr>PANNEAUX_PHOTO_N</vt:lpstr>
      <vt:lpstr>PANNEAUX_PHOTO_N1</vt:lpstr>
      <vt:lpstr>PANNEAUX_PHOTO_N2</vt:lpstr>
      <vt:lpstr>PARCOURS_ENHERBES_VOLAILLES_N</vt:lpstr>
      <vt:lpstr>PARCOURS_ENHERBES_VOLAILLES_N1</vt:lpstr>
      <vt:lpstr>PARCOURS_ENHERBES_VOLAILLES_N2</vt:lpstr>
      <vt:lpstr>PART_ARBO_COUVERTE</vt:lpstr>
      <vt:lpstr>PART_HORTI_HORS_PEPI_COUVERTE</vt:lpstr>
      <vt:lpstr>PART_PRELEVE_ETIAGE</vt:lpstr>
      <vt:lpstr>PART_SAU_HORS_HORTICULTURE</vt:lpstr>
      <vt:lpstr>PART_SAU_HORTICULTURE</vt:lpstr>
      <vt:lpstr>PART_SURF_CULTURES_HORS_SOL</vt:lpstr>
      <vt:lpstr>PART_SURF_HORTICULTURE</vt:lpstr>
      <vt:lpstr>PART_SURF_HS_SYSTEME_PARTIEL</vt:lpstr>
      <vt:lpstr>PART_SURF_HS_SYSTEME_TOTAL</vt:lpstr>
      <vt:lpstr>PART_SURF_IRRIGUEE_EQUIPEE</vt:lpstr>
      <vt:lpstr>PART_SURF_IRRIGUEE_PRATIQUES_AGRO</vt:lpstr>
      <vt:lpstr>PART_SURF_PRAIRIES_PERM</vt:lpstr>
      <vt:lpstr>PART_VIGNES_COUVERTE</vt:lpstr>
      <vt:lpstr>PARTICIPATION_CAMPAGNE_PROSPECTION</vt:lpstr>
      <vt:lpstr>PASSAGE_ENROULEUR_N</vt:lpstr>
      <vt:lpstr>PASSAGE_ENROULEUR_N1</vt:lpstr>
      <vt:lpstr>PASSAGE_ENROULEUR_N2</vt:lpstr>
      <vt:lpstr>PDT_IFT_REALISE_N_HERBICIDES</vt:lpstr>
      <vt:lpstr>PDT_IFT_REALISE_N_HORS_HERBICIDES</vt:lpstr>
      <vt:lpstr>PDT_IFT_REALISE_N1_HERBICIDES</vt:lpstr>
      <vt:lpstr>PDT_IFT_REALISE_N1_HORS_HERBICIDES</vt:lpstr>
      <vt:lpstr>PDT_IFT_REALISE_N2_HERBICIDES</vt:lpstr>
      <vt:lpstr>PDT_IFT_REALISE_N2_HORS_HERBICIDES</vt:lpstr>
      <vt:lpstr>PEUPLERAIE_N</vt:lpstr>
      <vt:lpstr>PEUPLERAIE_N1</vt:lpstr>
      <vt:lpstr>PEUPLERAIE_N2</vt:lpstr>
      <vt:lpstr>PLAFOND_QUANTITE_AZOTE_APPORTEE_N</vt:lpstr>
      <vt:lpstr>PLAFOND_QUANTITE_AZOTE_APPORTEE_N1</vt:lpstr>
      <vt:lpstr>PLAFOND_QUANTITE_AZOTE_APPORTEE_N2</vt:lpstr>
      <vt:lpstr>PLAFOND_RETENU_QUANTITE_AZOTE</vt:lpstr>
      <vt:lpstr>PLAFOND_SUBST_ACT_N</vt:lpstr>
      <vt:lpstr>PLAFOND_SUBST_ACT_N1</vt:lpstr>
      <vt:lpstr>PLAFOND_SUBST_ACT_N2</vt:lpstr>
      <vt:lpstr>PLANCHER_QUANTITE_AZOTE_APPORTEE_N</vt:lpstr>
      <vt:lpstr>PLANCHER_QUANTITE_AZOTE_APPORTEE_N1</vt:lpstr>
      <vt:lpstr>PLANCHER_QUANTITE_AZOTE_APPORTEE_N2</vt:lpstr>
      <vt:lpstr>PLANCHER_RETENU_QUANTITE_AZOTE</vt:lpstr>
      <vt:lpstr>PLANCHER_SUBST_ACT_N</vt:lpstr>
      <vt:lpstr>PLANCHER_SUBST_ACT_N1</vt:lpstr>
      <vt:lpstr>PLANCHER_SUBST_ACT_N2</vt:lpstr>
      <vt:lpstr>POIDS_IAE_TOT_EXPL</vt:lpstr>
      <vt:lpstr>POIDS_PART_IAE</vt:lpstr>
      <vt:lpstr>POIDS_SURF_TOT</vt:lpstr>
      <vt:lpstr>POINTS_HORS_HORTICULTURE</vt:lpstr>
      <vt:lpstr>POINTS_HORTICULTURE</vt:lpstr>
      <vt:lpstr>POINTS_RECUP_EAU_PLUIE</vt:lpstr>
      <vt:lpstr>POINTS_RECYCLAGE_TRAITEMENT</vt:lpstr>
      <vt:lpstr>POINTS_UTILISATION_OUTILS</vt:lpstr>
      <vt:lpstr>POIS_PROTEAGINEUX_N</vt:lpstr>
      <vt:lpstr>POIS_PROTEAGINEUX_N1</vt:lpstr>
      <vt:lpstr>POIS_PROTEAGINEUX_N2</vt:lpstr>
      <vt:lpstr>POMMES_DE_TERRES_N</vt:lpstr>
      <vt:lpstr>POMMES_DE_TERRES_N1</vt:lpstr>
      <vt:lpstr>POMMES_DE_TERRES_N2</vt:lpstr>
      <vt:lpstr>POURCENTAGE_AZOTE_APPORTE</vt:lpstr>
      <vt:lpstr>POURCENTAGE_CULTURES_MINEURES</vt:lpstr>
      <vt:lpstr>POURCENTAGE_SAU_ARBO</vt:lpstr>
      <vt:lpstr>POURCENTAGE_SAU_HORTI</vt:lpstr>
      <vt:lpstr>POURCENTAGE_SAU_NON_TRAITEE</vt:lpstr>
      <vt:lpstr>POURCENTAGE_SAU_VIGNES</vt:lpstr>
      <vt:lpstr>POURCENTAGE_SURF_ARBO</vt:lpstr>
      <vt:lpstr>POURCENTAGE_SURF_CULTURES_HORS_SOL</vt:lpstr>
      <vt:lpstr>POURCENTAGE_SURF_HORTI_EQUIPEE</vt:lpstr>
      <vt:lpstr>POURCENTAGE_SURF_LEG_FRUITS</vt:lpstr>
      <vt:lpstr>POURCENTAGE_SURF_LEGUMINEUSES</vt:lpstr>
      <vt:lpstr>POURCENTAGE_SURF_VIGNES</vt:lpstr>
      <vt:lpstr>POURCENTAGE_SURFACES_NON_FERTILISEES</vt:lpstr>
      <vt:lpstr>PP_FERTILISEES_N</vt:lpstr>
      <vt:lpstr>PP_FERTILISEES_N1</vt:lpstr>
      <vt:lpstr>PP_FERTILISEES_N2</vt:lpstr>
      <vt:lpstr>PP_NON_FERTILISEES_N</vt:lpstr>
      <vt:lpstr>PP_NON_FERTILISEES_N1</vt:lpstr>
      <vt:lpstr>PP_NON_FERTILISEES_N2</vt:lpstr>
      <vt:lpstr>PRAIRIES_CONV_SURF</vt:lpstr>
      <vt:lpstr>PRAIRIES_REEL_SURF</vt:lpstr>
      <vt:lpstr>PRAIRIES_UNITE</vt:lpstr>
      <vt:lpstr>PRISE_EN_COMPTE_CULTURE_MOYENNE</vt:lpstr>
      <vt:lpstr>PROD_COUV_ARBRES_ARBUSTES_EN_POT_N_M01</vt:lpstr>
      <vt:lpstr>PROD_COUV_ARBRES_ARBUSTES_EN_POT_N_M02</vt:lpstr>
      <vt:lpstr>PROD_COUV_ARBRES_ARBUSTES_EN_POT_N_M03</vt:lpstr>
      <vt:lpstr>PROD_COUV_ARBRES_ARBUSTES_EN_POT_N_M04</vt:lpstr>
      <vt:lpstr>PROD_COUV_ARBRES_ARBUSTES_EN_POT_N_M05</vt:lpstr>
      <vt:lpstr>PROD_COUV_ARBRES_ARBUSTES_EN_POT_N_M06</vt:lpstr>
      <vt:lpstr>PROD_COUV_ARBRES_ARBUSTES_EN_POT_N_M07</vt:lpstr>
      <vt:lpstr>PROD_COUV_ARBRES_ARBUSTES_EN_POT_N_M08</vt:lpstr>
      <vt:lpstr>PROD_COUV_ARBRES_ARBUSTES_EN_POT_N_M09</vt:lpstr>
      <vt:lpstr>PROD_COUV_ARBRES_ARBUSTES_EN_POT_N_M10</vt:lpstr>
      <vt:lpstr>PROD_COUV_ARBRES_ARBUSTES_EN_POT_N_M11</vt:lpstr>
      <vt:lpstr>PROD_COUV_ARBRES_ARBUSTES_EN_POT_N_M12</vt:lpstr>
      <vt:lpstr>PROD_COUV_ARBRES_ARBUSTES_EN_POT_N_MOY</vt:lpstr>
      <vt:lpstr>PROD_COUV_ARBRES_ARBUSTES_EN_POT_N1_M01</vt:lpstr>
      <vt:lpstr>PROD_COUV_ARBRES_ARBUSTES_EN_POT_N1_M02</vt:lpstr>
      <vt:lpstr>PROD_COUV_ARBRES_ARBUSTES_EN_POT_N1_M03</vt:lpstr>
      <vt:lpstr>PROD_COUV_ARBRES_ARBUSTES_EN_POT_N1_M04</vt:lpstr>
      <vt:lpstr>PROD_COUV_ARBRES_ARBUSTES_EN_POT_N1_M05</vt:lpstr>
      <vt:lpstr>PROD_COUV_ARBRES_ARBUSTES_EN_POT_N1_M06</vt:lpstr>
      <vt:lpstr>PROD_COUV_ARBRES_ARBUSTES_EN_POT_N1_M07</vt:lpstr>
      <vt:lpstr>PROD_COUV_ARBRES_ARBUSTES_EN_POT_N1_M08</vt:lpstr>
      <vt:lpstr>PROD_COUV_ARBRES_ARBUSTES_EN_POT_N1_M09</vt:lpstr>
      <vt:lpstr>PROD_COUV_ARBRES_ARBUSTES_EN_POT_N1_M10</vt:lpstr>
      <vt:lpstr>PROD_COUV_ARBRES_ARBUSTES_EN_POT_N1_M11</vt:lpstr>
      <vt:lpstr>PROD_COUV_ARBRES_ARBUSTES_EN_POT_N1_M12</vt:lpstr>
      <vt:lpstr>PROD_COUV_ARBRES_ARBUSTES_EN_POT_N1_MOY</vt:lpstr>
      <vt:lpstr>PROD_COUV_ARBRES_ARBUSTES_EN_POT_N2_M01</vt:lpstr>
      <vt:lpstr>PROD_COUV_ARBRES_ARBUSTES_EN_POT_N2_M02</vt:lpstr>
      <vt:lpstr>PROD_COUV_ARBRES_ARBUSTES_EN_POT_N2_M03</vt:lpstr>
      <vt:lpstr>PROD_COUV_ARBRES_ARBUSTES_EN_POT_N2_M04</vt:lpstr>
      <vt:lpstr>PROD_COUV_ARBRES_ARBUSTES_EN_POT_N2_M05</vt:lpstr>
      <vt:lpstr>PROD_COUV_ARBRES_ARBUSTES_EN_POT_N2_M06</vt:lpstr>
      <vt:lpstr>PROD_COUV_ARBRES_ARBUSTES_EN_POT_N2_M07</vt:lpstr>
      <vt:lpstr>PROD_COUV_ARBRES_ARBUSTES_EN_POT_N2_M08</vt:lpstr>
      <vt:lpstr>PROD_COUV_ARBRES_ARBUSTES_EN_POT_N2_M09</vt:lpstr>
      <vt:lpstr>PROD_COUV_ARBRES_ARBUSTES_EN_POT_N2_M10</vt:lpstr>
      <vt:lpstr>PROD_COUV_ARBRES_ARBUSTES_EN_POT_N2_M11</vt:lpstr>
      <vt:lpstr>PROD_COUV_ARBRES_ARBUSTES_EN_POT_N2_M12</vt:lpstr>
      <vt:lpstr>PROD_COUV_ARBRES_ARBUSTES_EN_POT_N2_MOY</vt:lpstr>
      <vt:lpstr>PROD_COUV_AUTRES_ARBRES_EN_POT_N_M01</vt:lpstr>
      <vt:lpstr>PROD_COUV_AUTRES_ARBRES_EN_POT_N_M02</vt:lpstr>
      <vt:lpstr>PROD_COUV_AUTRES_ARBRES_EN_POT_N_M03</vt:lpstr>
      <vt:lpstr>PROD_COUV_AUTRES_ARBRES_EN_POT_N_M04</vt:lpstr>
      <vt:lpstr>PROD_COUV_AUTRES_ARBRES_EN_POT_N_M05</vt:lpstr>
      <vt:lpstr>PROD_COUV_AUTRES_ARBRES_EN_POT_N_M06</vt:lpstr>
      <vt:lpstr>PROD_COUV_AUTRES_ARBRES_EN_POT_N_M07</vt:lpstr>
      <vt:lpstr>PROD_COUV_AUTRES_ARBRES_EN_POT_N_M08</vt:lpstr>
      <vt:lpstr>PROD_COUV_AUTRES_ARBRES_EN_POT_N_M09</vt:lpstr>
      <vt:lpstr>PROD_COUV_AUTRES_ARBRES_EN_POT_N_M10</vt:lpstr>
      <vt:lpstr>PROD_COUV_AUTRES_ARBRES_EN_POT_N_M11</vt:lpstr>
      <vt:lpstr>PROD_COUV_AUTRES_ARBRES_EN_POT_N_M12</vt:lpstr>
      <vt:lpstr>PROD_COUV_AUTRES_ARBRES_EN_POT_N_MOY</vt:lpstr>
      <vt:lpstr>PROD_COUV_AUTRES_ARBRES_EN_POT_N1_M01</vt:lpstr>
      <vt:lpstr>PROD_COUV_AUTRES_ARBRES_EN_POT_N1_M02</vt:lpstr>
      <vt:lpstr>PROD_COUV_AUTRES_ARBRES_EN_POT_N1_M03</vt:lpstr>
      <vt:lpstr>PROD_COUV_AUTRES_ARBRES_EN_POT_N1_M04</vt:lpstr>
      <vt:lpstr>PROD_COUV_AUTRES_ARBRES_EN_POT_N1_M05</vt:lpstr>
      <vt:lpstr>PROD_COUV_AUTRES_ARBRES_EN_POT_N1_M06</vt:lpstr>
      <vt:lpstr>PROD_COUV_AUTRES_ARBRES_EN_POT_N1_M07</vt:lpstr>
      <vt:lpstr>PROD_COUV_AUTRES_ARBRES_EN_POT_N1_M08</vt:lpstr>
      <vt:lpstr>PROD_COUV_AUTRES_ARBRES_EN_POT_N1_M09</vt:lpstr>
      <vt:lpstr>PROD_COUV_AUTRES_ARBRES_EN_POT_N1_M10</vt:lpstr>
      <vt:lpstr>PROD_COUV_AUTRES_ARBRES_EN_POT_N1_M11</vt:lpstr>
      <vt:lpstr>PROD_COUV_AUTRES_ARBRES_EN_POT_N1_M12</vt:lpstr>
      <vt:lpstr>PROD_COUV_AUTRES_ARBRES_EN_POT_N1_MOY</vt:lpstr>
      <vt:lpstr>PROD_COUV_AUTRES_ARBRES_EN_POT_N2_M01</vt:lpstr>
      <vt:lpstr>PROD_COUV_AUTRES_ARBRES_EN_POT_N2_M02</vt:lpstr>
      <vt:lpstr>PROD_COUV_AUTRES_ARBRES_EN_POT_N2_M03</vt:lpstr>
      <vt:lpstr>PROD_COUV_AUTRES_ARBRES_EN_POT_N2_M04</vt:lpstr>
      <vt:lpstr>PROD_COUV_AUTRES_ARBRES_EN_POT_N2_M05</vt:lpstr>
      <vt:lpstr>PROD_COUV_AUTRES_ARBRES_EN_POT_N2_M06</vt:lpstr>
      <vt:lpstr>PROD_COUV_AUTRES_ARBRES_EN_POT_N2_M07</vt:lpstr>
      <vt:lpstr>PROD_COUV_AUTRES_ARBRES_EN_POT_N2_M08</vt:lpstr>
      <vt:lpstr>PROD_COUV_AUTRES_ARBRES_EN_POT_N2_M09</vt:lpstr>
      <vt:lpstr>PROD_COUV_AUTRES_ARBRES_EN_POT_N2_M10</vt:lpstr>
      <vt:lpstr>PROD_COUV_AUTRES_ARBRES_EN_POT_N2_M11</vt:lpstr>
      <vt:lpstr>PROD_COUV_AUTRES_ARBRES_EN_POT_N2_M12</vt:lpstr>
      <vt:lpstr>PROD_COUV_AUTRES_ARBRES_EN_POT_N2_MOY</vt:lpstr>
      <vt:lpstr>PROD_COUV_AUTRES_CULTURES_PLEINE_TERRE_N_M01</vt:lpstr>
      <vt:lpstr>PROD_COUV_AUTRES_CULTURES_PLEINE_TERRE_N_M02</vt:lpstr>
      <vt:lpstr>PROD_COUV_AUTRES_CULTURES_PLEINE_TERRE_N_M03</vt:lpstr>
      <vt:lpstr>PROD_COUV_AUTRES_CULTURES_PLEINE_TERRE_N_M04</vt:lpstr>
      <vt:lpstr>PROD_COUV_AUTRES_CULTURES_PLEINE_TERRE_N_M05</vt:lpstr>
      <vt:lpstr>PROD_COUV_AUTRES_CULTURES_PLEINE_TERRE_N_M06</vt:lpstr>
      <vt:lpstr>PROD_COUV_AUTRES_CULTURES_PLEINE_TERRE_N_M07</vt:lpstr>
      <vt:lpstr>PROD_COUV_AUTRES_CULTURES_PLEINE_TERRE_N_M08</vt:lpstr>
      <vt:lpstr>PROD_COUV_AUTRES_CULTURES_PLEINE_TERRE_N_M09</vt:lpstr>
      <vt:lpstr>PROD_COUV_AUTRES_CULTURES_PLEINE_TERRE_N_M10</vt:lpstr>
      <vt:lpstr>PROD_COUV_AUTRES_CULTURES_PLEINE_TERRE_N_M11</vt:lpstr>
      <vt:lpstr>PROD_COUV_AUTRES_CULTURES_PLEINE_TERRE_N_M12</vt:lpstr>
      <vt:lpstr>PROD_COUV_AUTRES_CULTURES_PLEINE_TERRE_N_MOY</vt:lpstr>
      <vt:lpstr>PROD_COUV_AUTRES_CULTURES_PLEINE_TERRE_N1_M01</vt:lpstr>
      <vt:lpstr>PROD_COUV_AUTRES_CULTURES_PLEINE_TERRE_N1_M02</vt:lpstr>
      <vt:lpstr>PROD_COUV_AUTRES_CULTURES_PLEINE_TERRE_N1_M03</vt:lpstr>
      <vt:lpstr>PROD_COUV_AUTRES_CULTURES_PLEINE_TERRE_N1_M04</vt:lpstr>
      <vt:lpstr>PROD_COUV_AUTRES_CULTURES_PLEINE_TERRE_N1_M05</vt:lpstr>
      <vt:lpstr>PROD_COUV_AUTRES_CULTURES_PLEINE_TERRE_N1_M06</vt:lpstr>
      <vt:lpstr>PROD_COUV_AUTRES_CULTURES_PLEINE_TERRE_N1_M07</vt:lpstr>
      <vt:lpstr>PROD_COUV_AUTRES_CULTURES_PLEINE_TERRE_N1_M08</vt:lpstr>
      <vt:lpstr>PROD_COUV_AUTRES_CULTURES_PLEINE_TERRE_N1_M09</vt:lpstr>
      <vt:lpstr>PROD_COUV_AUTRES_CULTURES_PLEINE_TERRE_N1_M10</vt:lpstr>
      <vt:lpstr>PROD_COUV_AUTRES_CULTURES_PLEINE_TERRE_N1_M11</vt:lpstr>
      <vt:lpstr>PROD_COUV_AUTRES_CULTURES_PLEINE_TERRE_N1_M12</vt:lpstr>
      <vt:lpstr>PROD_COUV_AUTRES_CULTURES_PLEINE_TERRE_N1_MOY</vt:lpstr>
      <vt:lpstr>PROD_COUV_AUTRES_CULTURES_PLEINE_TERRE_N2_M01</vt:lpstr>
      <vt:lpstr>PROD_COUV_AUTRES_CULTURES_PLEINE_TERRE_N2_M02</vt:lpstr>
      <vt:lpstr>PROD_COUV_AUTRES_CULTURES_PLEINE_TERRE_N2_M03</vt:lpstr>
      <vt:lpstr>PROD_COUV_AUTRES_CULTURES_PLEINE_TERRE_N2_M04</vt:lpstr>
      <vt:lpstr>PROD_COUV_AUTRES_CULTURES_PLEINE_TERRE_N2_M05</vt:lpstr>
      <vt:lpstr>PROD_COUV_AUTRES_CULTURES_PLEINE_TERRE_N2_M06</vt:lpstr>
      <vt:lpstr>PROD_COUV_AUTRES_CULTURES_PLEINE_TERRE_N2_M07</vt:lpstr>
      <vt:lpstr>PROD_COUV_AUTRES_CULTURES_PLEINE_TERRE_N2_M08</vt:lpstr>
      <vt:lpstr>PROD_COUV_AUTRES_CULTURES_PLEINE_TERRE_N2_M09</vt:lpstr>
      <vt:lpstr>PROD_COUV_AUTRES_CULTURES_PLEINE_TERRE_N2_M10</vt:lpstr>
      <vt:lpstr>PROD_COUV_AUTRES_CULTURES_PLEINE_TERRE_N2_M11</vt:lpstr>
      <vt:lpstr>PROD_COUV_AUTRES_CULTURES_PLEINE_TERRE_N2_M12</vt:lpstr>
      <vt:lpstr>PROD_COUV_AUTRES_CULTURES_PLEINE_TERRE_N2_MOY</vt:lpstr>
      <vt:lpstr>PROD_COUV_AUTRES_FLEURS_COUPEES_EN_POT_N_M01</vt:lpstr>
      <vt:lpstr>PROD_COUV_AUTRES_FLEURS_COUPEES_EN_POT_N_M02</vt:lpstr>
      <vt:lpstr>PROD_COUV_AUTRES_FLEURS_COUPEES_EN_POT_N_M03</vt:lpstr>
      <vt:lpstr>PROD_COUV_AUTRES_FLEURS_COUPEES_EN_POT_N_M04</vt:lpstr>
      <vt:lpstr>PROD_COUV_AUTRES_FLEURS_COUPEES_EN_POT_N_M05</vt:lpstr>
      <vt:lpstr>PROD_COUV_AUTRES_FLEURS_COUPEES_EN_POT_N_M06</vt:lpstr>
      <vt:lpstr>PROD_COUV_AUTRES_FLEURS_COUPEES_EN_POT_N_M07</vt:lpstr>
      <vt:lpstr>PROD_COUV_AUTRES_FLEURS_COUPEES_EN_POT_N_M08</vt:lpstr>
      <vt:lpstr>PROD_COUV_AUTRES_FLEURS_COUPEES_EN_POT_N_M09</vt:lpstr>
      <vt:lpstr>PROD_COUV_AUTRES_FLEURS_COUPEES_EN_POT_N_M10</vt:lpstr>
      <vt:lpstr>PROD_COUV_AUTRES_FLEURS_COUPEES_EN_POT_N_M11</vt:lpstr>
      <vt:lpstr>PROD_COUV_AUTRES_FLEURS_COUPEES_EN_POT_N_M12</vt:lpstr>
      <vt:lpstr>PROD_COUV_AUTRES_FLEURS_COUPEES_EN_POT_N_MOY</vt:lpstr>
      <vt:lpstr>PROD_COUV_AUTRES_FLEURS_COUPEES_EN_POT_N1_M01</vt:lpstr>
      <vt:lpstr>PROD_COUV_AUTRES_FLEURS_COUPEES_EN_POT_N1_M02</vt:lpstr>
      <vt:lpstr>PROD_COUV_AUTRES_FLEURS_COUPEES_EN_POT_N1_M03</vt:lpstr>
      <vt:lpstr>PROD_COUV_AUTRES_FLEURS_COUPEES_EN_POT_N1_M04</vt:lpstr>
      <vt:lpstr>PROD_COUV_AUTRES_FLEURS_COUPEES_EN_POT_N1_M05</vt:lpstr>
      <vt:lpstr>PROD_COUV_AUTRES_FLEURS_COUPEES_EN_POT_N1_M06</vt:lpstr>
      <vt:lpstr>PROD_COUV_AUTRES_FLEURS_COUPEES_EN_POT_N1_M07</vt:lpstr>
      <vt:lpstr>PROD_COUV_AUTRES_FLEURS_COUPEES_EN_POT_N1_M08</vt:lpstr>
      <vt:lpstr>PROD_COUV_AUTRES_FLEURS_COUPEES_EN_POT_N1_M09</vt:lpstr>
      <vt:lpstr>PROD_COUV_AUTRES_FLEURS_COUPEES_EN_POT_N1_M10</vt:lpstr>
      <vt:lpstr>PROD_COUV_AUTRES_FLEURS_COUPEES_EN_POT_N1_M11</vt:lpstr>
      <vt:lpstr>PROD_COUV_AUTRES_FLEURS_COUPEES_EN_POT_N1_M12</vt:lpstr>
      <vt:lpstr>PROD_COUV_AUTRES_FLEURS_COUPEES_EN_POT_N1_MOY</vt:lpstr>
      <vt:lpstr>PROD_COUV_AUTRES_FLEURS_COUPEES_EN_POT_N2_M01</vt:lpstr>
      <vt:lpstr>PROD_COUV_AUTRES_FLEURS_COUPEES_EN_POT_N2_M02</vt:lpstr>
      <vt:lpstr>PROD_COUV_AUTRES_FLEURS_COUPEES_EN_POT_N2_M03</vt:lpstr>
      <vt:lpstr>PROD_COUV_AUTRES_FLEURS_COUPEES_EN_POT_N2_M04</vt:lpstr>
      <vt:lpstr>PROD_COUV_AUTRES_FLEURS_COUPEES_EN_POT_N2_M05</vt:lpstr>
      <vt:lpstr>PROD_COUV_AUTRES_FLEURS_COUPEES_EN_POT_N2_M06</vt:lpstr>
      <vt:lpstr>PROD_COUV_AUTRES_FLEURS_COUPEES_EN_POT_N2_M07</vt:lpstr>
      <vt:lpstr>PROD_COUV_AUTRES_FLEURS_COUPEES_EN_POT_N2_M08</vt:lpstr>
      <vt:lpstr>PROD_COUV_AUTRES_FLEURS_COUPEES_EN_POT_N2_M09</vt:lpstr>
      <vt:lpstr>PROD_COUV_AUTRES_FLEURS_COUPEES_EN_POT_N2_M10</vt:lpstr>
      <vt:lpstr>PROD_COUV_AUTRES_FLEURS_COUPEES_EN_POT_N2_M11</vt:lpstr>
      <vt:lpstr>PROD_COUV_AUTRES_FLEURS_COUPEES_EN_POT_N2_M12</vt:lpstr>
      <vt:lpstr>PROD_COUV_AUTRES_FLEURS_COUPEES_EN_POT_N2_MOY</vt:lpstr>
      <vt:lpstr>PROD_COUV_FLEURS_COUPEES_PLEINE_TERRE_N_M01</vt:lpstr>
      <vt:lpstr>PROD_COUV_FLEURS_COUPEES_PLEINE_TERRE_N_M02</vt:lpstr>
      <vt:lpstr>PROD_COUV_FLEURS_COUPEES_PLEINE_TERRE_N_M03</vt:lpstr>
      <vt:lpstr>PROD_COUV_FLEURS_COUPEES_PLEINE_TERRE_N_M04</vt:lpstr>
      <vt:lpstr>PROD_COUV_FLEURS_COUPEES_PLEINE_TERRE_N_M05</vt:lpstr>
      <vt:lpstr>PROD_COUV_FLEURS_COUPEES_PLEINE_TERRE_N_M06</vt:lpstr>
      <vt:lpstr>PROD_COUV_FLEURS_COUPEES_PLEINE_TERRE_N_M07</vt:lpstr>
      <vt:lpstr>PROD_COUV_FLEURS_COUPEES_PLEINE_TERRE_N_M08</vt:lpstr>
      <vt:lpstr>PROD_COUV_FLEURS_COUPEES_PLEINE_TERRE_N_M09</vt:lpstr>
      <vt:lpstr>PROD_COUV_FLEURS_COUPEES_PLEINE_TERRE_N_M10</vt:lpstr>
      <vt:lpstr>PROD_COUV_FLEURS_COUPEES_PLEINE_TERRE_N_M11</vt:lpstr>
      <vt:lpstr>PROD_COUV_FLEURS_COUPEES_PLEINE_TERRE_N_M12</vt:lpstr>
      <vt:lpstr>PROD_COUV_FLEURS_COUPEES_PLEINE_TERRE_N_MOY</vt:lpstr>
      <vt:lpstr>PROD_COUV_FLEURS_COUPEES_PLEINE_TERRE_N1_M01</vt:lpstr>
      <vt:lpstr>PROD_COUV_FLEURS_COUPEES_PLEINE_TERRE_N1_M02</vt:lpstr>
      <vt:lpstr>PROD_COUV_FLEURS_COUPEES_PLEINE_TERRE_N1_M03</vt:lpstr>
      <vt:lpstr>PROD_COUV_FLEURS_COUPEES_PLEINE_TERRE_N1_M04</vt:lpstr>
      <vt:lpstr>PROD_COUV_FLEURS_COUPEES_PLEINE_TERRE_N1_M05</vt:lpstr>
      <vt:lpstr>PROD_COUV_FLEURS_COUPEES_PLEINE_TERRE_N1_M06</vt:lpstr>
      <vt:lpstr>PROD_COUV_FLEURS_COUPEES_PLEINE_TERRE_N1_M07</vt:lpstr>
      <vt:lpstr>PROD_COUV_FLEURS_COUPEES_PLEINE_TERRE_N1_M08</vt:lpstr>
      <vt:lpstr>PROD_COUV_FLEURS_COUPEES_PLEINE_TERRE_N1_M09</vt:lpstr>
      <vt:lpstr>PROD_COUV_FLEURS_COUPEES_PLEINE_TERRE_N1_M10</vt:lpstr>
      <vt:lpstr>PROD_COUV_FLEURS_COUPEES_PLEINE_TERRE_N1_M11</vt:lpstr>
      <vt:lpstr>PROD_COUV_FLEURS_COUPEES_PLEINE_TERRE_N1_M12</vt:lpstr>
      <vt:lpstr>PROD_COUV_FLEURS_COUPEES_PLEINE_TERRE_N1_MOY</vt:lpstr>
      <vt:lpstr>PROD_COUV_FLEURS_COUPEES_PLEINE_TERRE_N2_M01</vt:lpstr>
      <vt:lpstr>PROD_COUV_FLEURS_COUPEES_PLEINE_TERRE_N2_M02</vt:lpstr>
      <vt:lpstr>PROD_COUV_FLEURS_COUPEES_PLEINE_TERRE_N2_M03</vt:lpstr>
      <vt:lpstr>PROD_COUV_FLEURS_COUPEES_PLEINE_TERRE_N2_M04</vt:lpstr>
      <vt:lpstr>PROD_COUV_FLEURS_COUPEES_PLEINE_TERRE_N2_M05</vt:lpstr>
      <vt:lpstr>PROD_COUV_FLEURS_COUPEES_PLEINE_TERRE_N2_M06</vt:lpstr>
      <vt:lpstr>PROD_COUV_FLEURS_COUPEES_PLEINE_TERRE_N2_M07</vt:lpstr>
      <vt:lpstr>PROD_COUV_FLEURS_COUPEES_PLEINE_TERRE_N2_M08</vt:lpstr>
      <vt:lpstr>PROD_COUV_FLEURS_COUPEES_PLEINE_TERRE_N2_M09</vt:lpstr>
      <vt:lpstr>PROD_COUV_FLEURS_COUPEES_PLEINE_TERRE_N2_M10</vt:lpstr>
      <vt:lpstr>PROD_COUV_FLEURS_COUPEES_PLEINE_TERRE_N2_M11</vt:lpstr>
      <vt:lpstr>PROD_COUV_FLEURS_COUPEES_PLEINE_TERRE_N2_M12</vt:lpstr>
      <vt:lpstr>PROD_COUV_FLEURS_COUPEES_PLEINE_TERRE_N2_MOY</vt:lpstr>
      <vt:lpstr>PROD_COUV_PLANTES_EN_POT_N_M01</vt:lpstr>
      <vt:lpstr>PROD_COUV_PLANTES_EN_POT_N_M02</vt:lpstr>
      <vt:lpstr>PROD_COUV_PLANTES_EN_POT_N_M03</vt:lpstr>
      <vt:lpstr>PROD_COUV_PLANTES_EN_POT_N_M04</vt:lpstr>
      <vt:lpstr>PROD_COUV_PLANTES_EN_POT_N_M05</vt:lpstr>
      <vt:lpstr>PROD_COUV_PLANTES_EN_POT_N_M06</vt:lpstr>
      <vt:lpstr>PROD_COUV_PLANTES_EN_POT_N_M07</vt:lpstr>
      <vt:lpstr>PROD_COUV_PLANTES_EN_POT_N_M08</vt:lpstr>
      <vt:lpstr>PROD_COUV_PLANTES_EN_POT_N_M09</vt:lpstr>
      <vt:lpstr>PROD_COUV_PLANTES_EN_POT_N_M10</vt:lpstr>
      <vt:lpstr>PROD_COUV_PLANTES_EN_POT_N_M11</vt:lpstr>
      <vt:lpstr>PROD_COUV_PLANTES_EN_POT_N_M12</vt:lpstr>
      <vt:lpstr>PROD_COUV_PLANTES_EN_POT_N_MOY</vt:lpstr>
      <vt:lpstr>PROD_COUV_PLANTES_EN_POT_N1_M01</vt:lpstr>
      <vt:lpstr>PROD_COUV_PLANTES_EN_POT_N1_M02</vt:lpstr>
      <vt:lpstr>PROD_COUV_PLANTES_EN_POT_N1_M03</vt:lpstr>
      <vt:lpstr>PROD_COUV_PLANTES_EN_POT_N1_M04</vt:lpstr>
      <vt:lpstr>PROD_COUV_PLANTES_EN_POT_N1_M05</vt:lpstr>
      <vt:lpstr>PROD_COUV_PLANTES_EN_POT_N1_M06</vt:lpstr>
      <vt:lpstr>PROD_COUV_PLANTES_EN_POT_N1_M07</vt:lpstr>
      <vt:lpstr>PROD_COUV_PLANTES_EN_POT_N1_M08</vt:lpstr>
      <vt:lpstr>PROD_COUV_PLANTES_EN_POT_N1_M09</vt:lpstr>
      <vt:lpstr>PROD_COUV_PLANTES_EN_POT_N1_M10</vt:lpstr>
      <vt:lpstr>PROD_COUV_PLANTES_EN_POT_N1_M11</vt:lpstr>
      <vt:lpstr>PROD_COUV_PLANTES_EN_POT_N1_M12</vt:lpstr>
      <vt:lpstr>PROD_COUV_PLANTES_EN_POT_N1_MOY</vt:lpstr>
      <vt:lpstr>PROD_COUV_PLANTES_EN_POT_N2_M01</vt:lpstr>
      <vt:lpstr>PROD_COUV_PLANTES_EN_POT_N2_M02</vt:lpstr>
      <vt:lpstr>PROD_COUV_PLANTES_EN_POT_N2_M03</vt:lpstr>
      <vt:lpstr>PROD_COUV_PLANTES_EN_POT_N2_M04</vt:lpstr>
      <vt:lpstr>PROD_COUV_PLANTES_EN_POT_N2_M05</vt:lpstr>
      <vt:lpstr>PROD_COUV_PLANTES_EN_POT_N2_M06</vt:lpstr>
      <vt:lpstr>PROD_COUV_PLANTES_EN_POT_N2_M07</vt:lpstr>
      <vt:lpstr>PROD_COUV_PLANTES_EN_POT_N2_M08</vt:lpstr>
      <vt:lpstr>PROD_COUV_PLANTES_EN_POT_N2_M09</vt:lpstr>
      <vt:lpstr>PROD_COUV_PLANTES_EN_POT_N2_M10</vt:lpstr>
      <vt:lpstr>PROD_COUV_PLANTES_EN_POT_N2_M11</vt:lpstr>
      <vt:lpstr>PROD_COUV_PLANTES_EN_POT_N2_M12</vt:lpstr>
      <vt:lpstr>PROD_COUV_PLANTES_EN_POT_N2_MOY</vt:lpstr>
      <vt:lpstr>PROD_COUV_PLANTES_MASSIF_VIVACES_N_M01</vt:lpstr>
      <vt:lpstr>PROD_COUV_PLANTES_MASSIF_VIVACES_N_M02</vt:lpstr>
      <vt:lpstr>PROD_COUV_PLANTES_MASSIF_VIVACES_N_M03</vt:lpstr>
      <vt:lpstr>PROD_COUV_PLANTES_MASSIF_VIVACES_N_M04</vt:lpstr>
      <vt:lpstr>PROD_COUV_PLANTES_MASSIF_VIVACES_N_M05</vt:lpstr>
      <vt:lpstr>PROD_COUV_PLANTES_MASSIF_VIVACES_N_M06</vt:lpstr>
      <vt:lpstr>PROD_COUV_PLANTES_MASSIF_VIVACES_N_M07</vt:lpstr>
      <vt:lpstr>PROD_COUV_PLANTES_MASSIF_VIVACES_N_M08</vt:lpstr>
      <vt:lpstr>PROD_COUV_PLANTES_MASSIF_VIVACES_N_M09</vt:lpstr>
      <vt:lpstr>PROD_COUV_PLANTES_MASSIF_VIVACES_N_M10</vt:lpstr>
      <vt:lpstr>PROD_COUV_PLANTES_MASSIF_VIVACES_N_M11</vt:lpstr>
      <vt:lpstr>PROD_COUV_PLANTES_MASSIF_VIVACES_N_M12</vt:lpstr>
      <vt:lpstr>PROD_COUV_PLANTES_MASSIF_VIVACES_N_MOY</vt:lpstr>
      <vt:lpstr>PROD_COUV_PLANTES_MASSIF_VIVACES_N1_M01</vt:lpstr>
      <vt:lpstr>PROD_COUV_PLANTES_MASSIF_VIVACES_N1_M02</vt:lpstr>
      <vt:lpstr>PROD_COUV_PLANTES_MASSIF_VIVACES_N1_M03</vt:lpstr>
      <vt:lpstr>PROD_COUV_PLANTES_MASSIF_VIVACES_N1_M04</vt:lpstr>
      <vt:lpstr>PROD_COUV_PLANTES_MASSIF_VIVACES_N1_M05</vt:lpstr>
      <vt:lpstr>PROD_COUV_PLANTES_MASSIF_VIVACES_N1_M06</vt:lpstr>
      <vt:lpstr>PROD_COUV_PLANTES_MASSIF_VIVACES_N1_M07</vt:lpstr>
      <vt:lpstr>PROD_COUV_PLANTES_MASSIF_VIVACES_N1_M08</vt:lpstr>
      <vt:lpstr>PROD_COUV_PLANTES_MASSIF_VIVACES_N1_M09</vt:lpstr>
      <vt:lpstr>PROD_COUV_PLANTES_MASSIF_VIVACES_N1_M10</vt:lpstr>
      <vt:lpstr>PROD_COUV_PLANTES_MASSIF_VIVACES_N1_M11</vt:lpstr>
      <vt:lpstr>PROD_COUV_PLANTES_MASSIF_VIVACES_N1_M12</vt:lpstr>
      <vt:lpstr>PROD_COUV_PLANTES_MASSIF_VIVACES_N1_MOY</vt:lpstr>
      <vt:lpstr>PROD_COUV_PLANTES_MASSIF_VIVACES_N2_M01</vt:lpstr>
      <vt:lpstr>PROD_COUV_PLANTES_MASSIF_VIVACES_N2_M02</vt:lpstr>
      <vt:lpstr>PROD_COUV_PLANTES_MASSIF_VIVACES_N2_M03</vt:lpstr>
      <vt:lpstr>PROD_COUV_PLANTES_MASSIF_VIVACES_N2_M04</vt:lpstr>
      <vt:lpstr>PROD_COUV_PLANTES_MASSIF_VIVACES_N2_M05</vt:lpstr>
      <vt:lpstr>PROD_COUV_PLANTES_MASSIF_VIVACES_N2_M06</vt:lpstr>
      <vt:lpstr>PROD_COUV_PLANTES_MASSIF_VIVACES_N2_M07</vt:lpstr>
      <vt:lpstr>PROD_COUV_PLANTES_MASSIF_VIVACES_N2_M08</vt:lpstr>
      <vt:lpstr>PROD_COUV_PLANTES_MASSIF_VIVACES_N2_M09</vt:lpstr>
      <vt:lpstr>PROD_COUV_PLANTES_MASSIF_VIVACES_N2_M10</vt:lpstr>
      <vt:lpstr>PROD_COUV_PLANTES_MASSIF_VIVACES_N2_M11</vt:lpstr>
      <vt:lpstr>PROD_COUV_PLANTES_MASSIF_VIVACES_N2_M12</vt:lpstr>
      <vt:lpstr>PROD_COUV_PLANTES_MASSIF_VIVACES_N2_MOY</vt:lpstr>
      <vt:lpstr>PROD_COUV_PLANTES_MED_EN_POT_N_M01</vt:lpstr>
      <vt:lpstr>PROD_COUV_PLANTES_MED_EN_POT_N_M02</vt:lpstr>
      <vt:lpstr>PROD_COUV_PLANTES_MED_EN_POT_N_M03</vt:lpstr>
      <vt:lpstr>PROD_COUV_PLANTES_MED_EN_POT_N_M04</vt:lpstr>
      <vt:lpstr>PROD_COUV_PLANTES_MED_EN_POT_N_M05</vt:lpstr>
      <vt:lpstr>PROD_COUV_PLANTES_MED_EN_POT_N_M06</vt:lpstr>
      <vt:lpstr>PROD_COUV_PLANTES_MED_EN_POT_N_M07</vt:lpstr>
      <vt:lpstr>PROD_COUV_PLANTES_MED_EN_POT_N_M08</vt:lpstr>
      <vt:lpstr>PROD_COUV_PLANTES_MED_EN_POT_N_M09</vt:lpstr>
      <vt:lpstr>PROD_COUV_PLANTES_MED_EN_POT_N_M10</vt:lpstr>
      <vt:lpstr>PROD_COUV_PLANTES_MED_EN_POT_N_M11</vt:lpstr>
      <vt:lpstr>PROD_COUV_PLANTES_MED_EN_POT_N_M12</vt:lpstr>
      <vt:lpstr>PROD_COUV_PLANTES_MED_EN_POT_N_MOY</vt:lpstr>
      <vt:lpstr>PROD_COUV_PLANTES_MED_EN_POT_N1_M01</vt:lpstr>
      <vt:lpstr>PROD_COUV_PLANTES_MED_EN_POT_N1_M02</vt:lpstr>
      <vt:lpstr>PROD_COUV_PLANTES_MED_EN_POT_N1_M03</vt:lpstr>
      <vt:lpstr>PROD_COUV_PLANTES_MED_EN_POT_N1_M04</vt:lpstr>
      <vt:lpstr>PROD_COUV_PLANTES_MED_EN_POT_N1_M05</vt:lpstr>
      <vt:lpstr>PROD_COUV_PLANTES_MED_EN_POT_N1_M06</vt:lpstr>
      <vt:lpstr>PROD_COUV_PLANTES_MED_EN_POT_N1_M07</vt:lpstr>
      <vt:lpstr>PROD_COUV_PLANTES_MED_EN_POT_N1_M08</vt:lpstr>
      <vt:lpstr>PROD_COUV_PLANTES_MED_EN_POT_N1_M09</vt:lpstr>
      <vt:lpstr>PROD_COUV_PLANTES_MED_EN_POT_N1_M10</vt:lpstr>
      <vt:lpstr>PROD_COUV_PLANTES_MED_EN_POT_N1_M11</vt:lpstr>
      <vt:lpstr>PROD_COUV_PLANTES_MED_EN_POT_N1_M12</vt:lpstr>
      <vt:lpstr>PROD_COUV_PLANTES_MED_EN_POT_N1_MOY</vt:lpstr>
      <vt:lpstr>PROD_COUV_PLANTES_MED_EN_POT_N2_M01</vt:lpstr>
      <vt:lpstr>PROD_COUV_PLANTES_MED_EN_POT_N2_M02</vt:lpstr>
      <vt:lpstr>PROD_COUV_PLANTES_MED_EN_POT_N2_M03</vt:lpstr>
      <vt:lpstr>PROD_COUV_PLANTES_MED_EN_POT_N2_M04</vt:lpstr>
      <vt:lpstr>PROD_COUV_PLANTES_MED_EN_POT_N2_M05</vt:lpstr>
      <vt:lpstr>PROD_COUV_PLANTES_MED_EN_POT_N2_M06</vt:lpstr>
      <vt:lpstr>PROD_COUV_PLANTES_MED_EN_POT_N2_M07</vt:lpstr>
      <vt:lpstr>PROD_COUV_PLANTES_MED_EN_POT_N2_M08</vt:lpstr>
      <vt:lpstr>PROD_COUV_PLANTES_MED_EN_POT_N2_M09</vt:lpstr>
      <vt:lpstr>PROD_COUV_PLANTES_MED_EN_POT_N2_M10</vt:lpstr>
      <vt:lpstr>PROD_COUV_PLANTES_MED_EN_POT_N2_M11</vt:lpstr>
      <vt:lpstr>PROD_COUV_PLANTES_MED_EN_POT_N2_M12</vt:lpstr>
      <vt:lpstr>PROD_COUV_PLANTES_MED_EN_POT_N2_MOY</vt:lpstr>
      <vt:lpstr>PROD_EXT_ARBRES_ARBUSTES_EN_POT_N_M01</vt:lpstr>
      <vt:lpstr>PROD_EXT_ARBRES_ARBUSTES_EN_POT_N_M02</vt:lpstr>
      <vt:lpstr>PROD_EXT_ARBRES_ARBUSTES_EN_POT_N_M03</vt:lpstr>
      <vt:lpstr>PROD_EXT_ARBRES_ARBUSTES_EN_POT_N_M04</vt:lpstr>
      <vt:lpstr>PROD_EXT_ARBRES_ARBUSTES_EN_POT_N_M05</vt:lpstr>
      <vt:lpstr>PROD_EXT_ARBRES_ARBUSTES_EN_POT_N_M06</vt:lpstr>
      <vt:lpstr>PROD_EXT_ARBRES_ARBUSTES_EN_POT_N_M07</vt:lpstr>
      <vt:lpstr>PROD_EXT_ARBRES_ARBUSTES_EN_POT_N_M08</vt:lpstr>
      <vt:lpstr>PROD_EXT_ARBRES_ARBUSTES_EN_POT_N_M09</vt:lpstr>
      <vt:lpstr>PROD_EXT_ARBRES_ARBUSTES_EN_POT_N_M10</vt:lpstr>
      <vt:lpstr>PROD_EXT_ARBRES_ARBUSTES_EN_POT_N_M11</vt:lpstr>
      <vt:lpstr>PROD_EXT_ARBRES_ARBUSTES_EN_POT_N_M12</vt:lpstr>
      <vt:lpstr>PROD_EXT_ARBRES_ARBUSTES_EN_POT_N_MOY</vt:lpstr>
      <vt:lpstr>PROD_EXT_ARBRES_ARBUSTES_EN_POT_N1_M01</vt:lpstr>
      <vt:lpstr>PROD_EXT_ARBRES_ARBUSTES_EN_POT_N1_M02</vt:lpstr>
      <vt:lpstr>PROD_EXT_ARBRES_ARBUSTES_EN_POT_N1_M03</vt:lpstr>
      <vt:lpstr>PROD_EXT_ARBRES_ARBUSTES_EN_POT_N1_M04</vt:lpstr>
      <vt:lpstr>PROD_EXT_ARBRES_ARBUSTES_EN_POT_N1_M05</vt:lpstr>
      <vt:lpstr>PROD_EXT_ARBRES_ARBUSTES_EN_POT_N1_M06</vt:lpstr>
      <vt:lpstr>PROD_EXT_ARBRES_ARBUSTES_EN_POT_N1_M07</vt:lpstr>
      <vt:lpstr>PROD_EXT_ARBRES_ARBUSTES_EN_POT_N1_M08</vt:lpstr>
      <vt:lpstr>PROD_EXT_ARBRES_ARBUSTES_EN_POT_N1_M09</vt:lpstr>
      <vt:lpstr>PROD_EXT_ARBRES_ARBUSTES_EN_POT_N1_M10</vt:lpstr>
      <vt:lpstr>PROD_EXT_ARBRES_ARBUSTES_EN_POT_N1_M11</vt:lpstr>
      <vt:lpstr>PROD_EXT_ARBRES_ARBUSTES_EN_POT_N1_M12</vt:lpstr>
      <vt:lpstr>PROD_EXT_ARBRES_ARBUSTES_EN_POT_N1_MOY</vt:lpstr>
      <vt:lpstr>PROD_EXT_ARBRES_ARBUSTES_EN_POT_N2_M01</vt:lpstr>
      <vt:lpstr>PROD_EXT_ARBRES_ARBUSTES_EN_POT_N2_M02</vt:lpstr>
      <vt:lpstr>PROD_EXT_ARBRES_ARBUSTES_EN_POT_N2_M03</vt:lpstr>
      <vt:lpstr>PROD_EXT_ARBRES_ARBUSTES_EN_POT_N2_M04</vt:lpstr>
      <vt:lpstr>PROD_EXT_ARBRES_ARBUSTES_EN_POT_N2_M05</vt:lpstr>
      <vt:lpstr>PROD_EXT_ARBRES_ARBUSTES_EN_POT_N2_M06</vt:lpstr>
      <vt:lpstr>PROD_EXT_ARBRES_ARBUSTES_EN_POT_N2_M07</vt:lpstr>
      <vt:lpstr>PROD_EXT_ARBRES_ARBUSTES_EN_POT_N2_M08</vt:lpstr>
      <vt:lpstr>PROD_EXT_ARBRES_ARBUSTES_EN_POT_N2_M09</vt:lpstr>
      <vt:lpstr>PROD_EXT_ARBRES_ARBUSTES_EN_POT_N2_M10</vt:lpstr>
      <vt:lpstr>PROD_EXT_ARBRES_ARBUSTES_EN_POT_N2_M11</vt:lpstr>
      <vt:lpstr>PROD_EXT_ARBRES_ARBUSTES_EN_POT_N2_M12</vt:lpstr>
      <vt:lpstr>PROD_EXT_ARBRES_ARBUSTES_EN_POT_N2_MOY</vt:lpstr>
      <vt:lpstr>PROD_EXT_ARBRES_PLEINE_TERRE_N_M01</vt:lpstr>
      <vt:lpstr>PROD_EXT_ARBRES_PLEINE_TERRE_N_M02</vt:lpstr>
      <vt:lpstr>PROD_EXT_ARBRES_PLEINE_TERRE_N_M03</vt:lpstr>
      <vt:lpstr>PROD_EXT_ARBRES_PLEINE_TERRE_N_M04</vt:lpstr>
      <vt:lpstr>PROD_EXT_ARBRES_PLEINE_TERRE_N_M05</vt:lpstr>
      <vt:lpstr>PROD_EXT_ARBRES_PLEINE_TERRE_N_M06</vt:lpstr>
      <vt:lpstr>PROD_EXT_ARBRES_PLEINE_TERRE_N_M07</vt:lpstr>
      <vt:lpstr>PROD_EXT_ARBRES_PLEINE_TERRE_N_M08</vt:lpstr>
      <vt:lpstr>PROD_EXT_ARBRES_PLEINE_TERRE_N_M09</vt:lpstr>
      <vt:lpstr>PROD_EXT_ARBRES_PLEINE_TERRE_N_M10</vt:lpstr>
      <vt:lpstr>PROD_EXT_ARBRES_PLEINE_TERRE_N_M11</vt:lpstr>
      <vt:lpstr>PROD_EXT_ARBRES_PLEINE_TERRE_N_M12</vt:lpstr>
      <vt:lpstr>PROD_EXT_ARBRES_PLEINE_TERRE_N_MOY</vt:lpstr>
      <vt:lpstr>PROD_EXT_ARBRES_PLEINE_TERRE_N1_M01</vt:lpstr>
      <vt:lpstr>PROD_EXT_ARBRES_PLEINE_TERRE_N1_M02</vt:lpstr>
      <vt:lpstr>PROD_EXT_ARBRES_PLEINE_TERRE_N1_M03</vt:lpstr>
      <vt:lpstr>PROD_EXT_ARBRES_PLEINE_TERRE_N1_M04</vt:lpstr>
      <vt:lpstr>PROD_EXT_ARBRES_PLEINE_TERRE_N1_M05</vt:lpstr>
      <vt:lpstr>PROD_EXT_ARBRES_PLEINE_TERRE_N1_M06</vt:lpstr>
      <vt:lpstr>PROD_EXT_ARBRES_PLEINE_TERRE_N1_M07</vt:lpstr>
      <vt:lpstr>PROD_EXT_ARBRES_PLEINE_TERRE_N1_M08</vt:lpstr>
      <vt:lpstr>PROD_EXT_ARBRES_PLEINE_TERRE_N1_M09</vt:lpstr>
      <vt:lpstr>PROD_EXT_ARBRES_PLEINE_TERRE_N1_M10</vt:lpstr>
      <vt:lpstr>PROD_EXT_ARBRES_PLEINE_TERRE_N1_M11</vt:lpstr>
      <vt:lpstr>PROD_EXT_ARBRES_PLEINE_TERRE_N1_M12</vt:lpstr>
      <vt:lpstr>PROD_EXT_ARBRES_PLEINE_TERRE_N1_MOY</vt:lpstr>
      <vt:lpstr>PROD_EXT_ARBRES_PLEINE_TERRE_N2_M01</vt:lpstr>
      <vt:lpstr>PROD_EXT_ARBRES_PLEINE_TERRE_N2_M02</vt:lpstr>
      <vt:lpstr>PROD_EXT_ARBRES_PLEINE_TERRE_N2_M03</vt:lpstr>
      <vt:lpstr>PROD_EXT_ARBRES_PLEINE_TERRE_N2_M04</vt:lpstr>
      <vt:lpstr>PROD_EXT_ARBRES_PLEINE_TERRE_N2_M05</vt:lpstr>
      <vt:lpstr>PROD_EXT_ARBRES_PLEINE_TERRE_N2_M06</vt:lpstr>
      <vt:lpstr>PROD_EXT_ARBRES_PLEINE_TERRE_N2_M07</vt:lpstr>
      <vt:lpstr>PROD_EXT_ARBRES_PLEINE_TERRE_N2_M08</vt:lpstr>
      <vt:lpstr>PROD_EXT_ARBRES_PLEINE_TERRE_N2_M09</vt:lpstr>
      <vt:lpstr>PROD_EXT_ARBRES_PLEINE_TERRE_N2_M10</vt:lpstr>
      <vt:lpstr>PROD_EXT_ARBRES_PLEINE_TERRE_N2_M11</vt:lpstr>
      <vt:lpstr>PROD_EXT_ARBRES_PLEINE_TERRE_N2_M12</vt:lpstr>
      <vt:lpstr>PROD_EXT_ARBRES_PLEINE_TERRE_N2_MOY</vt:lpstr>
      <vt:lpstr>PROD_EXT_AUTRES_ARBRES_EN_POT_N_M01</vt:lpstr>
      <vt:lpstr>PROD_EXT_AUTRES_ARBRES_EN_POT_N_M02</vt:lpstr>
      <vt:lpstr>PROD_EXT_AUTRES_ARBRES_EN_POT_N_M03</vt:lpstr>
      <vt:lpstr>PROD_EXT_AUTRES_ARBRES_EN_POT_N_M04</vt:lpstr>
      <vt:lpstr>PROD_EXT_AUTRES_ARBRES_EN_POT_N_M05</vt:lpstr>
      <vt:lpstr>PROD_EXT_AUTRES_ARBRES_EN_POT_N_M06</vt:lpstr>
      <vt:lpstr>PROD_EXT_AUTRES_ARBRES_EN_POT_N_M07</vt:lpstr>
      <vt:lpstr>PROD_EXT_AUTRES_ARBRES_EN_POT_N_M08</vt:lpstr>
      <vt:lpstr>PROD_EXT_AUTRES_ARBRES_EN_POT_N_M09</vt:lpstr>
      <vt:lpstr>PROD_EXT_AUTRES_ARBRES_EN_POT_N_M10</vt:lpstr>
      <vt:lpstr>PROD_EXT_AUTRES_ARBRES_EN_POT_N_M11</vt:lpstr>
      <vt:lpstr>PROD_EXT_AUTRES_ARBRES_EN_POT_N_M12</vt:lpstr>
      <vt:lpstr>PROD_EXT_AUTRES_ARBRES_EN_POT_N_MOY</vt:lpstr>
      <vt:lpstr>PROD_EXT_AUTRES_ARBRES_EN_POT_N1_M01</vt:lpstr>
      <vt:lpstr>PROD_EXT_AUTRES_ARBRES_EN_POT_N1_M02</vt:lpstr>
      <vt:lpstr>PROD_EXT_AUTRES_ARBRES_EN_POT_N1_M03</vt:lpstr>
      <vt:lpstr>PROD_EXT_AUTRES_ARBRES_EN_POT_N1_M04</vt:lpstr>
      <vt:lpstr>PROD_EXT_AUTRES_ARBRES_EN_POT_N1_M05</vt:lpstr>
      <vt:lpstr>PROD_EXT_AUTRES_ARBRES_EN_POT_N1_M06</vt:lpstr>
      <vt:lpstr>PROD_EXT_AUTRES_ARBRES_EN_POT_N1_M07</vt:lpstr>
      <vt:lpstr>PROD_EXT_AUTRES_ARBRES_EN_POT_N1_M08</vt:lpstr>
      <vt:lpstr>PROD_EXT_AUTRES_ARBRES_EN_POT_N1_M09</vt:lpstr>
      <vt:lpstr>PROD_EXT_AUTRES_ARBRES_EN_POT_N1_M10</vt:lpstr>
      <vt:lpstr>PROD_EXT_AUTRES_ARBRES_EN_POT_N1_M11</vt:lpstr>
      <vt:lpstr>PROD_EXT_AUTRES_ARBRES_EN_POT_N1_M12</vt:lpstr>
      <vt:lpstr>PROD_EXT_AUTRES_ARBRES_EN_POT_N1_MOY</vt:lpstr>
      <vt:lpstr>PROD_EXT_AUTRES_ARBRES_EN_POT_N2_M01</vt:lpstr>
      <vt:lpstr>PROD_EXT_AUTRES_ARBRES_EN_POT_N2_M02</vt:lpstr>
      <vt:lpstr>PROD_EXT_AUTRES_ARBRES_EN_POT_N2_M03</vt:lpstr>
      <vt:lpstr>PROD_EXT_AUTRES_ARBRES_EN_POT_N2_M04</vt:lpstr>
      <vt:lpstr>PROD_EXT_AUTRES_ARBRES_EN_POT_N2_M05</vt:lpstr>
      <vt:lpstr>PROD_EXT_AUTRES_ARBRES_EN_POT_N2_M06</vt:lpstr>
      <vt:lpstr>PROD_EXT_AUTRES_ARBRES_EN_POT_N2_M07</vt:lpstr>
      <vt:lpstr>PROD_EXT_AUTRES_ARBRES_EN_POT_N2_M08</vt:lpstr>
      <vt:lpstr>PROD_EXT_AUTRES_ARBRES_EN_POT_N2_M09</vt:lpstr>
      <vt:lpstr>PROD_EXT_AUTRES_ARBRES_EN_POT_N2_M10</vt:lpstr>
      <vt:lpstr>PROD_EXT_AUTRES_ARBRES_EN_POT_N2_M11</vt:lpstr>
      <vt:lpstr>PROD_EXT_AUTRES_ARBRES_EN_POT_N2_M12</vt:lpstr>
      <vt:lpstr>PROD_EXT_AUTRES_ARBRES_EN_POT_N2_MOY</vt:lpstr>
      <vt:lpstr>PROD_EXT_AUTRES_CULTURES_PLEINE_TERRE_N_M01</vt:lpstr>
      <vt:lpstr>PROD_EXT_AUTRES_CULTURES_PLEINE_TERRE_N_M02</vt:lpstr>
      <vt:lpstr>PROD_EXT_AUTRES_CULTURES_PLEINE_TERRE_N_M03</vt:lpstr>
      <vt:lpstr>PROD_EXT_AUTRES_CULTURES_PLEINE_TERRE_N_M04</vt:lpstr>
      <vt:lpstr>PROD_EXT_AUTRES_CULTURES_PLEINE_TERRE_N_M05</vt:lpstr>
      <vt:lpstr>PROD_EXT_AUTRES_CULTURES_PLEINE_TERRE_N_M06</vt:lpstr>
      <vt:lpstr>PROD_EXT_AUTRES_CULTURES_PLEINE_TERRE_N_M07</vt:lpstr>
      <vt:lpstr>PROD_EXT_AUTRES_CULTURES_PLEINE_TERRE_N_M08</vt:lpstr>
      <vt:lpstr>PROD_EXT_AUTRES_CULTURES_PLEINE_TERRE_N_M09</vt:lpstr>
      <vt:lpstr>PROD_EXT_AUTRES_CULTURES_PLEINE_TERRE_N_M10</vt:lpstr>
      <vt:lpstr>PROD_EXT_AUTRES_CULTURES_PLEINE_TERRE_N_M11</vt:lpstr>
      <vt:lpstr>PROD_EXT_AUTRES_CULTURES_PLEINE_TERRE_N_M12</vt:lpstr>
      <vt:lpstr>PROD_EXT_AUTRES_CULTURES_PLEINE_TERRE_N_MOY</vt:lpstr>
      <vt:lpstr>PROD_EXT_AUTRES_CULTURES_PLEINE_TERRE_N1_M01</vt:lpstr>
      <vt:lpstr>PROD_EXT_AUTRES_CULTURES_PLEINE_TERRE_N1_M02</vt:lpstr>
      <vt:lpstr>PROD_EXT_AUTRES_CULTURES_PLEINE_TERRE_N1_M03</vt:lpstr>
      <vt:lpstr>PROD_EXT_AUTRES_CULTURES_PLEINE_TERRE_N1_M04</vt:lpstr>
      <vt:lpstr>PROD_EXT_AUTRES_CULTURES_PLEINE_TERRE_N1_M05</vt:lpstr>
      <vt:lpstr>PROD_EXT_AUTRES_CULTURES_PLEINE_TERRE_N1_M06</vt:lpstr>
      <vt:lpstr>PROD_EXT_AUTRES_CULTURES_PLEINE_TERRE_N1_M07</vt:lpstr>
      <vt:lpstr>PROD_EXT_AUTRES_CULTURES_PLEINE_TERRE_N1_M08</vt:lpstr>
      <vt:lpstr>PROD_EXT_AUTRES_CULTURES_PLEINE_TERRE_N1_M09</vt:lpstr>
      <vt:lpstr>PROD_EXT_AUTRES_CULTURES_PLEINE_TERRE_N1_M10</vt:lpstr>
      <vt:lpstr>PROD_EXT_AUTRES_CULTURES_PLEINE_TERRE_N1_M11</vt:lpstr>
      <vt:lpstr>PROD_EXT_AUTRES_CULTURES_PLEINE_TERRE_N1_M12</vt:lpstr>
      <vt:lpstr>PROD_EXT_AUTRES_CULTURES_PLEINE_TERRE_N1_MOY</vt:lpstr>
      <vt:lpstr>PROD_EXT_AUTRES_CULTURES_PLEINE_TERRE_N2_M01</vt:lpstr>
      <vt:lpstr>PROD_EXT_AUTRES_CULTURES_PLEINE_TERRE_N2_M02</vt:lpstr>
      <vt:lpstr>PROD_EXT_AUTRES_CULTURES_PLEINE_TERRE_N2_M03</vt:lpstr>
      <vt:lpstr>PROD_EXT_AUTRES_CULTURES_PLEINE_TERRE_N2_M04</vt:lpstr>
      <vt:lpstr>PROD_EXT_AUTRES_CULTURES_PLEINE_TERRE_N2_M05</vt:lpstr>
      <vt:lpstr>PROD_EXT_AUTRES_CULTURES_PLEINE_TERRE_N2_M06</vt:lpstr>
      <vt:lpstr>PROD_EXT_AUTRES_CULTURES_PLEINE_TERRE_N2_M07</vt:lpstr>
      <vt:lpstr>PROD_EXT_AUTRES_CULTURES_PLEINE_TERRE_N2_M08</vt:lpstr>
      <vt:lpstr>PROD_EXT_AUTRES_CULTURES_PLEINE_TERRE_N2_M09</vt:lpstr>
      <vt:lpstr>PROD_EXT_AUTRES_CULTURES_PLEINE_TERRE_N2_M10</vt:lpstr>
      <vt:lpstr>PROD_EXT_AUTRES_CULTURES_PLEINE_TERRE_N2_M11</vt:lpstr>
      <vt:lpstr>PROD_EXT_AUTRES_CULTURES_PLEINE_TERRE_N2_M12</vt:lpstr>
      <vt:lpstr>PROD_EXT_AUTRES_CULTURES_PLEINE_TERRE_N2_MOY</vt:lpstr>
      <vt:lpstr>PROD_EXT_BULBES_PLEINE_TERRE_N_M01</vt:lpstr>
      <vt:lpstr>PROD_EXT_BULBES_PLEINE_TERRE_N_M02</vt:lpstr>
      <vt:lpstr>PROD_EXT_BULBES_PLEINE_TERRE_N_M03</vt:lpstr>
      <vt:lpstr>PROD_EXT_BULBES_PLEINE_TERRE_N_M04</vt:lpstr>
      <vt:lpstr>PROD_EXT_BULBES_PLEINE_TERRE_N_M05</vt:lpstr>
      <vt:lpstr>PROD_EXT_BULBES_PLEINE_TERRE_N_M06</vt:lpstr>
      <vt:lpstr>PROD_EXT_BULBES_PLEINE_TERRE_N_M07</vt:lpstr>
      <vt:lpstr>PROD_EXT_BULBES_PLEINE_TERRE_N_M08</vt:lpstr>
      <vt:lpstr>PROD_EXT_BULBES_PLEINE_TERRE_N_M09</vt:lpstr>
      <vt:lpstr>PROD_EXT_BULBES_PLEINE_TERRE_N_M10</vt:lpstr>
      <vt:lpstr>PROD_EXT_BULBES_PLEINE_TERRE_N_M11</vt:lpstr>
      <vt:lpstr>PROD_EXT_BULBES_PLEINE_TERRE_N_M12</vt:lpstr>
      <vt:lpstr>PROD_EXT_BULBES_PLEINE_TERRE_N_MOY</vt:lpstr>
      <vt:lpstr>PROD_EXT_BULBES_PLEINE_TERRE_N1_M01</vt:lpstr>
      <vt:lpstr>PROD_EXT_BULBES_PLEINE_TERRE_N1_M02</vt:lpstr>
      <vt:lpstr>PROD_EXT_BULBES_PLEINE_TERRE_N1_M03</vt:lpstr>
      <vt:lpstr>PROD_EXT_BULBES_PLEINE_TERRE_N1_M04</vt:lpstr>
      <vt:lpstr>PROD_EXT_BULBES_PLEINE_TERRE_N1_M05</vt:lpstr>
      <vt:lpstr>PROD_EXT_BULBES_PLEINE_TERRE_N1_M06</vt:lpstr>
      <vt:lpstr>PROD_EXT_BULBES_PLEINE_TERRE_N1_M07</vt:lpstr>
      <vt:lpstr>PROD_EXT_BULBES_PLEINE_TERRE_N1_M08</vt:lpstr>
      <vt:lpstr>PROD_EXT_BULBES_PLEINE_TERRE_N1_M09</vt:lpstr>
      <vt:lpstr>PROD_EXT_BULBES_PLEINE_TERRE_N1_M10</vt:lpstr>
      <vt:lpstr>PROD_EXT_BULBES_PLEINE_TERRE_N1_M11</vt:lpstr>
      <vt:lpstr>PROD_EXT_BULBES_PLEINE_TERRE_N1_M12</vt:lpstr>
      <vt:lpstr>PROD_EXT_BULBES_PLEINE_TERRE_N1_MOY</vt:lpstr>
      <vt:lpstr>PROD_EXT_BULBES_PLEINE_TERRE_N2_M01</vt:lpstr>
      <vt:lpstr>PROD_EXT_BULBES_PLEINE_TERRE_N2_M02</vt:lpstr>
      <vt:lpstr>PROD_EXT_BULBES_PLEINE_TERRE_N2_M03</vt:lpstr>
      <vt:lpstr>PROD_EXT_BULBES_PLEINE_TERRE_N2_M04</vt:lpstr>
      <vt:lpstr>PROD_EXT_BULBES_PLEINE_TERRE_N2_M05</vt:lpstr>
      <vt:lpstr>PROD_EXT_BULBES_PLEINE_TERRE_N2_M06</vt:lpstr>
      <vt:lpstr>PROD_EXT_BULBES_PLEINE_TERRE_N2_M07</vt:lpstr>
      <vt:lpstr>PROD_EXT_BULBES_PLEINE_TERRE_N2_M08</vt:lpstr>
      <vt:lpstr>PROD_EXT_BULBES_PLEINE_TERRE_N2_M09</vt:lpstr>
      <vt:lpstr>PROD_EXT_BULBES_PLEINE_TERRE_N2_M10</vt:lpstr>
      <vt:lpstr>PROD_EXT_BULBES_PLEINE_TERRE_N2_M11</vt:lpstr>
      <vt:lpstr>PROD_EXT_BULBES_PLEINE_TERRE_N2_M12</vt:lpstr>
      <vt:lpstr>PROD_EXT_BULBES_PLEINE_TERRE_N2_MOY</vt:lpstr>
      <vt:lpstr>PROD_EXT_CHRYSANTHEME_EN_POT_N_M01</vt:lpstr>
      <vt:lpstr>PROD_EXT_CHRYSANTHEME_EN_POT_N_M02</vt:lpstr>
      <vt:lpstr>PROD_EXT_CHRYSANTHEME_EN_POT_N_M03</vt:lpstr>
      <vt:lpstr>PROD_EXT_CHRYSANTHEME_EN_POT_N_M04</vt:lpstr>
      <vt:lpstr>PROD_EXT_CHRYSANTHEME_EN_POT_N_M05</vt:lpstr>
      <vt:lpstr>PROD_EXT_CHRYSANTHEME_EN_POT_N_M06</vt:lpstr>
      <vt:lpstr>PROD_EXT_CHRYSANTHEME_EN_POT_N_M07</vt:lpstr>
      <vt:lpstr>PROD_EXT_CHRYSANTHEME_EN_POT_N_M08</vt:lpstr>
      <vt:lpstr>PROD_EXT_CHRYSANTHEME_EN_POT_N_M09</vt:lpstr>
      <vt:lpstr>PROD_EXT_CHRYSANTHEME_EN_POT_N_M10</vt:lpstr>
      <vt:lpstr>PROD_EXT_CHRYSANTHEME_EN_POT_N_M11</vt:lpstr>
      <vt:lpstr>PROD_EXT_CHRYSANTHEME_EN_POT_N_M12</vt:lpstr>
      <vt:lpstr>PROD_EXT_CHRYSANTHEME_EN_POT_N_MOY</vt:lpstr>
      <vt:lpstr>PROD_EXT_CHRYSANTHEME_EN_POT_N1_M01</vt:lpstr>
      <vt:lpstr>PROD_EXT_CHRYSANTHEME_EN_POT_N1_M02</vt:lpstr>
      <vt:lpstr>PROD_EXT_CHRYSANTHEME_EN_POT_N1_M03</vt:lpstr>
      <vt:lpstr>PROD_EXT_CHRYSANTHEME_EN_POT_N1_M04</vt:lpstr>
      <vt:lpstr>PROD_EXT_CHRYSANTHEME_EN_POT_N1_M05</vt:lpstr>
      <vt:lpstr>PROD_EXT_CHRYSANTHEME_EN_POT_N1_M06</vt:lpstr>
      <vt:lpstr>PROD_EXT_CHRYSANTHEME_EN_POT_N1_M07</vt:lpstr>
      <vt:lpstr>PROD_EXT_CHRYSANTHEME_EN_POT_N1_M08</vt:lpstr>
      <vt:lpstr>PROD_EXT_CHRYSANTHEME_EN_POT_N1_M09</vt:lpstr>
      <vt:lpstr>PROD_EXT_CHRYSANTHEME_EN_POT_N1_M10</vt:lpstr>
      <vt:lpstr>PROD_EXT_CHRYSANTHEME_EN_POT_N1_M11</vt:lpstr>
      <vt:lpstr>PROD_EXT_CHRYSANTHEME_EN_POT_N1_M12</vt:lpstr>
      <vt:lpstr>PROD_EXT_CHRYSANTHEME_EN_POT_N1_MOY</vt:lpstr>
      <vt:lpstr>PROD_EXT_CHRYSANTHEME_EN_POT_N2_M01</vt:lpstr>
      <vt:lpstr>PROD_EXT_CHRYSANTHEME_EN_POT_N2_M02</vt:lpstr>
      <vt:lpstr>PROD_EXT_CHRYSANTHEME_EN_POT_N2_M03</vt:lpstr>
      <vt:lpstr>PROD_EXT_CHRYSANTHEME_EN_POT_N2_M04</vt:lpstr>
      <vt:lpstr>PROD_EXT_CHRYSANTHEME_EN_POT_N2_M05</vt:lpstr>
      <vt:lpstr>PROD_EXT_CHRYSANTHEME_EN_POT_N2_M06</vt:lpstr>
      <vt:lpstr>PROD_EXT_CHRYSANTHEME_EN_POT_N2_M07</vt:lpstr>
      <vt:lpstr>PROD_EXT_CHRYSANTHEME_EN_POT_N2_M08</vt:lpstr>
      <vt:lpstr>PROD_EXT_CHRYSANTHEME_EN_POT_N2_M09</vt:lpstr>
      <vt:lpstr>PROD_EXT_CHRYSANTHEME_EN_POT_N2_M10</vt:lpstr>
      <vt:lpstr>PROD_EXT_CHRYSANTHEME_EN_POT_N2_M11</vt:lpstr>
      <vt:lpstr>PROD_EXT_CHRYSANTHEME_EN_POT_N2_M12</vt:lpstr>
      <vt:lpstr>PROD_EXT_CHRYSANTHEME_EN_POT_N2_MOY</vt:lpstr>
      <vt:lpstr>PROD_EXT_FLEURS_ETE_PLEINE_TERRE_N_M01</vt:lpstr>
      <vt:lpstr>PROD_EXT_FLEURS_ETE_PLEINE_TERRE_N_M02</vt:lpstr>
      <vt:lpstr>PROD_EXT_FLEURS_ETE_PLEINE_TERRE_N_M03</vt:lpstr>
      <vt:lpstr>PROD_EXT_FLEURS_ETE_PLEINE_TERRE_N_M04</vt:lpstr>
      <vt:lpstr>PROD_EXT_FLEURS_ETE_PLEINE_TERRE_N_M05</vt:lpstr>
      <vt:lpstr>PROD_EXT_FLEURS_ETE_PLEINE_TERRE_N_M06</vt:lpstr>
      <vt:lpstr>PROD_EXT_FLEURS_ETE_PLEINE_TERRE_N_M07</vt:lpstr>
      <vt:lpstr>PROD_EXT_FLEURS_ETE_PLEINE_TERRE_N_M08</vt:lpstr>
      <vt:lpstr>PROD_EXT_FLEURS_ETE_PLEINE_TERRE_N_M09</vt:lpstr>
      <vt:lpstr>PROD_EXT_FLEURS_ETE_PLEINE_TERRE_N_M10</vt:lpstr>
      <vt:lpstr>PROD_EXT_FLEURS_ETE_PLEINE_TERRE_N_M11</vt:lpstr>
      <vt:lpstr>PROD_EXT_FLEURS_ETE_PLEINE_TERRE_N_M12</vt:lpstr>
      <vt:lpstr>PROD_EXT_FLEURS_ETE_PLEINE_TERRE_N_MOY</vt:lpstr>
      <vt:lpstr>PROD_EXT_FLEURS_ETE_PLEINE_TERRE_N1_M01</vt:lpstr>
      <vt:lpstr>PROD_EXT_FLEURS_ETE_PLEINE_TERRE_N1_M02</vt:lpstr>
      <vt:lpstr>PROD_EXT_FLEURS_ETE_PLEINE_TERRE_N1_M03</vt:lpstr>
      <vt:lpstr>PROD_EXT_FLEURS_ETE_PLEINE_TERRE_N1_M04</vt:lpstr>
      <vt:lpstr>PROD_EXT_FLEURS_ETE_PLEINE_TERRE_N1_M05</vt:lpstr>
      <vt:lpstr>PROD_EXT_FLEURS_ETE_PLEINE_TERRE_N1_M06</vt:lpstr>
      <vt:lpstr>PROD_EXT_FLEURS_ETE_PLEINE_TERRE_N1_M07</vt:lpstr>
      <vt:lpstr>PROD_EXT_FLEURS_ETE_PLEINE_TERRE_N1_M08</vt:lpstr>
      <vt:lpstr>PROD_EXT_FLEURS_ETE_PLEINE_TERRE_N1_M09</vt:lpstr>
      <vt:lpstr>PROD_EXT_FLEURS_ETE_PLEINE_TERRE_N1_M10</vt:lpstr>
      <vt:lpstr>PROD_EXT_FLEURS_ETE_PLEINE_TERRE_N1_M11</vt:lpstr>
      <vt:lpstr>PROD_EXT_FLEURS_ETE_PLEINE_TERRE_N1_M12</vt:lpstr>
      <vt:lpstr>PROD_EXT_FLEURS_ETE_PLEINE_TERRE_N1_MOY</vt:lpstr>
      <vt:lpstr>PROD_EXT_FLEURS_ETE_PLEINE_TERRE_N2_M01</vt:lpstr>
      <vt:lpstr>PROD_EXT_FLEURS_ETE_PLEINE_TERRE_N2_M02</vt:lpstr>
      <vt:lpstr>PROD_EXT_FLEURS_ETE_PLEINE_TERRE_N2_M03</vt:lpstr>
      <vt:lpstr>PROD_EXT_FLEURS_ETE_PLEINE_TERRE_N2_M04</vt:lpstr>
      <vt:lpstr>PROD_EXT_FLEURS_ETE_PLEINE_TERRE_N2_M05</vt:lpstr>
      <vt:lpstr>PROD_EXT_FLEURS_ETE_PLEINE_TERRE_N2_M06</vt:lpstr>
      <vt:lpstr>PROD_EXT_FLEURS_ETE_PLEINE_TERRE_N2_M07</vt:lpstr>
      <vt:lpstr>PROD_EXT_FLEURS_ETE_PLEINE_TERRE_N2_M08</vt:lpstr>
      <vt:lpstr>PROD_EXT_FLEURS_ETE_PLEINE_TERRE_N2_M09</vt:lpstr>
      <vt:lpstr>PROD_EXT_FLEURS_ETE_PLEINE_TERRE_N2_M10</vt:lpstr>
      <vt:lpstr>PROD_EXT_FLEURS_ETE_PLEINE_TERRE_N2_M11</vt:lpstr>
      <vt:lpstr>PROD_EXT_FLEURS_ETE_PLEINE_TERRE_N2_M12</vt:lpstr>
      <vt:lpstr>PROD_EXT_FLEURS_ETE_PLEINE_TERRE_N2_MOY</vt:lpstr>
      <vt:lpstr>PROD_EXT_FRUITIERS_PLEINE_TERRE_N_M01</vt:lpstr>
      <vt:lpstr>PROD_EXT_FRUITIERS_PLEINE_TERRE_N_M02</vt:lpstr>
      <vt:lpstr>PROD_EXT_FRUITIERS_PLEINE_TERRE_N_M03</vt:lpstr>
      <vt:lpstr>PROD_EXT_FRUITIERS_PLEINE_TERRE_N_M04</vt:lpstr>
      <vt:lpstr>PROD_EXT_FRUITIERS_PLEINE_TERRE_N_M05</vt:lpstr>
      <vt:lpstr>PROD_EXT_FRUITIERS_PLEINE_TERRE_N_M06</vt:lpstr>
      <vt:lpstr>PROD_EXT_FRUITIERS_PLEINE_TERRE_N_M07</vt:lpstr>
      <vt:lpstr>PROD_EXT_FRUITIERS_PLEINE_TERRE_N_M08</vt:lpstr>
      <vt:lpstr>PROD_EXT_FRUITIERS_PLEINE_TERRE_N_M09</vt:lpstr>
      <vt:lpstr>PROD_EXT_FRUITIERS_PLEINE_TERRE_N_M10</vt:lpstr>
      <vt:lpstr>PROD_EXT_FRUITIERS_PLEINE_TERRE_N_M11</vt:lpstr>
      <vt:lpstr>PROD_EXT_FRUITIERS_PLEINE_TERRE_N_M12</vt:lpstr>
      <vt:lpstr>PROD_EXT_FRUITIERS_PLEINE_TERRE_N_MOY</vt:lpstr>
      <vt:lpstr>PROD_EXT_FRUITIERS_PLEINE_TERRE_N1_M01</vt:lpstr>
      <vt:lpstr>PROD_EXT_FRUITIERS_PLEINE_TERRE_N1_M02</vt:lpstr>
      <vt:lpstr>PROD_EXT_FRUITIERS_PLEINE_TERRE_N1_M03</vt:lpstr>
      <vt:lpstr>PROD_EXT_FRUITIERS_PLEINE_TERRE_N1_M04</vt:lpstr>
      <vt:lpstr>PROD_EXT_FRUITIERS_PLEINE_TERRE_N1_M05</vt:lpstr>
      <vt:lpstr>PROD_EXT_FRUITIERS_PLEINE_TERRE_N1_M06</vt:lpstr>
      <vt:lpstr>PROD_EXT_FRUITIERS_PLEINE_TERRE_N1_M07</vt:lpstr>
      <vt:lpstr>PROD_EXT_FRUITIERS_PLEINE_TERRE_N1_M08</vt:lpstr>
      <vt:lpstr>PROD_EXT_FRUITIERS_PLEINE_TERRE_N1_M09</vt:lpstr>
      <vt:lpstr>PROD_EXT_FRUITIERS_PLEINE_TERRE_N1_M10</vt:lpstr>
      <vt:lpstr>PROD_EXT_FRUITIERS_PLEINE_TERRE_N1_M11</vt:lpstr>
      <vt:lpstr>PROD_EXT_FRUITIERS_PLEINE_TERRE_N1_M12</vt:lpstr>
      <vt:lpstr>PROD_EXT_FRUITIERS_PLEINE_TERRE_N1_MOY</vt:lpstr>
      <vt:lpstr>PROD_EXT_FRUITIERS_PLEINE_TERRE_N2_M01</vt:lpstr>
      <vt:lpstr>PROD_EXT_FRUITIERS_PLEINE_TERRE_N2_M02</vt:lpstr>
      <vt:lpstr>PROD_EXT_FRUITIERS_PLEINE_TERRE_N2_M03</vt:lpstr>
      <vt:lpstr>PROD_EXT_FRUITIERS_PLEINE_TERRE_N2_M04</vt:lpstr>
      <vt:lpstr>PROD_EXT_FRUITIERS_PLEINE_TERRE_N2_M05</vt:lpstr>
      <vt:lpstr>PROD_EXT_FRUITIERS_PLEINE_TERRE_N2_M06</vt:lpstr>
      <vt:lpstr>PROD_EXT_FRUITIERS_PLEINE_TERRE_N2_M07</vt:lpstr>
      <vt:lpstr>PROD_EXT_FRUITIERS_PLEINE_TERRE_N2_M08</vt:lpstr>
      <vt:lpstr>PROD_EXT_FRUITIERS_PLEINE_TERRE_N2_M09</vt:lpstr>
      <vt:lpstr>PROD_EXT_FRUITIERS_PLEINE_TERRE_N2_M10</vt:lpstr>
      <vt:lpstr>PROD_EXT_FRUITIERS_PLEINE_TERRE_N2_M11</vt:lpstr>
      <vt:lpstr>PROD_EXT_FRUITIERS_PLEINE_TERRE_N2_M12</vt:lpstr>
      <vt:lpstr>PROD_EXT_FRUITIERS_PLEINE_TERRE_N2_MOY</vt:lpstr>
      <vt:lpstr>PROD_EXT_PLANTES_EN_POT_N_M01</vt:lpstr>
      <vt:lpstr>PROD_EXT_PLANTES_EN_POT_N_M02</vt:lpstr>
      <vt:lpstr>PROD_EXT_PLANTES_EN_POT_N_M03</vt:lpstr>
      <vt:lpstr>PROD_EXT_PLANTES_EN_POT_N_M04</vt:lpstr>
      <vt:lpstr>PROD_EXT_PLANTES_EN_POT_N_M05</vt:lpstr>
      <vt:lpstr>PROD_EXT_PLANTES_EN_POT_N_M06</vt:lpstr>
      <vt:lpstr>PROD_EXT_PLANTES_EN_POT_N_M07</vt:lpstr>
      <vt:lpstr>PROD_EXT_PLANTES_EN_POT_N_M08</vt:lpstr>
      <vt:lpstr>PROD_EXT_PLANTES_EN_POT_N_M09</vt:lpstr>
      <vt:lpstr>PROD_EXT_PLANTES_EN_POT_N_M10</vt:lpstr>
      <vt:lpstr>PROD_EXT_PLANTES_EN_POT_N_M11</vt:lpstr>
      <vt:lpstr>PROD_EXT_PLANTES_EN_POT_N_M12</vt:lpstr>
      <vt:lpstr>PROD_EXT_PLANTES_EN_POT_N_MOY</vt:lpstr>
      <vt:lpstr>PROD_EXT_PLANTES_EN_POT_N1_M01</vt:lpstr>
      <vt:lpstr>PROD_EXT_PLANTES_EN_POT_N1_M02</vt:lpstr>
      <vt:lpstr>PROD_EXT_PLANTES_EN_POT_N1_M03</vt:lpstr>
      <vt:lpstr>PROD_EXT_PLANTES_EN_POT_N1_M04</vt:lpstr>
      <vt:lpstr>PROD_EXT_PLANTES_EN_POT_N1_M05</vt:lpstr>
      <vt:lpstr>PROD_EXT_PLANTES_EN_POT_N1_M06</vt:lpstr>
      <vt:lpstr>PROD_EXT_PLANTES_EN_POT_N1_M07</vt:lpstr>
      <vt:lpstr>PROD_EXT_PLANTES_EN_POT_N1_M08</vt:lpstr>
      <vt:lpstr>PROD_EXT_PLANTES_EN_POT_N1_M09</vt:lpstr>
      <vt:lpstr>PROD_EXT_PLANTES_EN_POT_N1_M10</vt:lpstr>
      <vt:lpstr>PROD_EXT_PLANTES_EN_POT_N1_M11</vt:lpstr>
      <vt:lpstr>PROD_EXT_PLANTES_EN_POT_N1_M12</vt:lpstr>
      <vt:lpstr>PROD_EXT_PLANTES_EN_POT_N1_MOY</vt:lpstr>
      <vt:lpstr>PROD_EXT_PLANTES_EN_POT_N2_M01</vt:lpstr>
      <vt:lpstr>PROD_EXT_PLANTES_EN_POT_N2_M02</vt:lpstr>
      <vt:lpstr>PROD_EXT_PLANTES_EN_POT_N2_M03</vt:lpstr>
      <vt:lpstr>PROD_EXT_PLANTES_EN_POT_N2_M04</vt:lpstr>
      <vt:lpstr>PROD_EXT_PLANTES_EN_POT_N2_M05</vt:lpstr>
      <vt:lpstr>PROD_EXT_PLANTES_EN_POT_N2_M06</vt:lpstr>
      <vt:lpstr>PROD_EXT_PLANTES_EN_POT_N2_M07</vt:lpstr>
      <vt:lpstr>PROD_EXT_PLANTES_EN_POT_N2_M08</vt:lpstr>
      <vt:lpstr>PROD_EXT_PLANTES_EN_POT_N2_M09</vt:lpstr>
      <vt:lpstr>PROD_EXT_PLANTES_EN_POT_N2_M10</vt:lpstr>
      <vt:lpstr>PROD_EXT_PLANTES_EN_POT_N2_M11</vt:lpstr>
      <vt:lpstr>PROD_EXT_PLANTES_EN_POT_N2_M12</vt:lpstr>
      <vt:lpstr>PROD_EXT_PLANTES_EN_POT_N2_MOY</vt:lpstr>
      <vt:lpstr>PROD_EXT_PLANTES_MED_EN_POT_N_M01</vt:lpstr>
      <vt:lpstr>PROD_EXT_PLANTES_MED_EN_POT_N_M02</vt:lpstr>
      <vt:lpstr>PROD_EXT_PLANTES_MED_EN_POT_N_M03</vt:lpstr>
      <vt:lpstr>PROD_EXT_PLANTES_MED_EN_POT_N_M04</vt:lpstr>
      <vt:lpstr>PROD_EXT_PLANTES_MED_EN_POT_N_M05</vt:lpstr>
      <vt:lpstr>PROD_EXT_PLANTES_MED_EN_POT_N_M06</vt:lpstr>
      <vt:lpstr>PROD_EXT_PLANTES_MED_EN_POT_N_M07</vt:lpstr>
      <vt:lpstr>PROD_EXT_PLANTES_MED_EN_POT_N_M08</vt:lpstr>
      <vt:lpstr>PROD_EXT_PLANTES_MED_EN_POT_N_M09</vt:lpstr>
      <vt:lpstr>PROD_EXT_PLANTES_MED_EN_POT_N_M10</vt:lpstr>
      <vt:lpstr>PROD_EXT_PLANTES_MED_EN_POT_N_M11</vt:lpstr>
      <vt:lpstr>PROD_EXT_PLANTES_MED_EN_POT_N_M12</vt:lpstr>
      <vt:lpstr>PROD_EXT_PLANTES_MED_EN_POT_N_MOY</vt:lpstr>
      <vt:lpstr>PROD_EXT_PLANTES_MED_EN_POT_N1_M01</vt:lpstr>
      <vt:lpstr>PROD_EXT_PLANTES_MED_EN_POT_N1_M02</vt:lpstr>
      <vt:lpstr>PROD_EXT_PLANTES_MED_EN_POT_N1_M03</vt:lpstr>
      <vt:lpstr>PROD_EXT_PLANTES_MED_EN_POT_N1_M04</vt:lpstr>
      <vt:lpstr>PROD_EXT_PLANTES_MED_EN_POT_N1_M05</vt:lpstr>
      <vt:lpstr>PROD_EXT_PLANTES_MED_EN_POT_N1_M06</vt:lpstr>
      <vt:lpstr>PROD_EXT_PLANTES_MED_EN_POT_N1_M07</vt:lpstr>
      <vt:lpstr>PROD_EXT_PLANTES_MED_EN_POT_N1_M08</vt:lpstr>
      <vt:lpstr>PROD_EXT_PLANTES_MED_EN_POT_N1_M09</vt:lpstr>
      <vt:lpstr>PROD_EXT_PLANTES_MED_EN_POT_N1_M10</vt:lpstr>
      <vt:lpstr>PROD_EXT_PLANTES_MED_EN_POT_N1_M11</vt:lpstr>
      <vt:lpstr>PROD_EXT_PLANTES_MED_EN_POT_N1_M12</vt:lpstr>
      <vt:lpstr>PROD_EXT_PLANTES_MED_EN_POT_N1_MOY</vt:lpstr>
      <vt:lpstr>PROD_EXT_PLANTES_MED_EN_POT_N2_M01</vt:lpstr>
      <vt:lpstr>PROD_EXT_PLANTES_MED_EN_POT_N2_M02</vt:lpstr>
      <vt:lpstr>PROD_EXT_PLANTES_MED_EN_POT_N2_M03</vt:lpstr>
      <vt:lpstr>PROD_EXT_PLANTES_MED_EN_POT_N2_M04</vt:lpstr>
      <vt:lpstr>PROD_EXT_PLANTES_MED_EN_POT_N2_M05</vt:lpstr>
      <vt:lpstr>PROD_EXT_PLANTES_MED_EN_POT_N2_M06</vt:lpstr>
      <vt:lpstr>PROD_EXT_PLANTES_MED_EN_POT_N2_M07</vt:lpstr>
      <vt:lpstr>PROD_EXT_PLANTES_MED_EN_POT_N2_M08</vt:lpstr>
      <vt:lpstr>PROD_EXT_PLANTES_MED_EN_POT_N2_M09</vt:lpstr>
      <vt:lpstr>PROD_EXT_PLANTES_MED_EN_POT_N2_M10</vt:lpstr>
      <vt:lpstr>PROD_EXT_PLANTES_MED_EN_POT_N2_M11</vt:lpstr>
      <vt:lpstr>PROD_EXT_PLANTES_MED_EN_POT_N2_M12</vt:lpstr>
      <vt:lpstr>PROD_EXT_PLANTES_MED_EN_POT_N2_MOY</vt:lpstr>
      <vt:lpstr>PROD_EXT_PLANTES_VIVACES_EN_POT_N_M01</vt:lpstr>
      <vt:lpstr>PROD_EXT_PLANTES_VIVACES_EN_POT_N_M02</vt:lpstr>
      <vt:lpstr>PROD_EXT_PLANTES_VIVACES_EN_POT_N_M03</vt:lpstr>
      <vt:lpstr>PROD_EXT_PLANTES_VIVACES_EN_POT_N_M04</vt:lpstr>
      <vt:lpstr>PROD_EXT_PLANTES_VIVACES_EN_POT_N_M05</vt:lpstr>
      <vt:lpstr>PROD_EXT_PLANTES_VIVACES_EN_POT_N_M06</vt:lpstr>
      <vt:lpstr>PROD_EXT_PLANTES_VIVACES_EN_POT_N_M07</vt:lpstr>
      <vt:lpstr>PROD_EXT_PLANTES_VIVACES_EN_POT_N_M08</vt:lpstr>
      <vt:lpstr>PROD_EXT_PLANTES_VIVACES_EN_POT_N_M09</vt:lpstr>
      <vt:lpstr>PROD_EXT_PLANTES_VIVACES_EN_POT_N_M10</vt:lpstr>
      <vt:lpstr>PROD_EXT_PLANTES_VIVACES_EN_POT_N_M11</vt:lpstr>
      <vt:lpstr>PROD_EXT_PLANTES_VIVACES_EN_POT_N_M12</vt:lpstr>
      <vt:lpstr>PROD_EXT_PLANTES_VIVACES_EN_POT_N_MOY</vt:lpstr>
      <vt:lpstr>PROD_EXT_PLANTES_VIVACES_EN_POT_N1_M01</vt:lpstr>
      <vt:lpstr>PROD_EXT_PLANTES_VIVACES_EN_POT_N1_M02</vt:lpstr>
      <vt:lpstr>PROD_EXT_PLANTES_VIVACES_EN_POT_N1_M03</vt:lpstr>
      <vt:lpstr>PROD_EXT_PLANTES_VIVACES_EN_POT_N1_M04</vt:lpstr>
      <vt:lpstr>PROD_EXT_PLANTES_VIVACES_EN_POT_N1_M05</vt:lpstr>
      <vt:lpstr>PROD_EXT_PLANTES_VIVACES_EN_POT_N1_M06</vt:lpstr>
      <vt:lpstr>PROD_EXT_PLANTES_VIVACES_EN_POT_N1_M07</vt:lpstr>
      <vt:lpstr>PROD_EXT_PLANTES_VIVACES_EN_POT_N1_M08</vt:lpstr>
      <vt:lpstr>PROD_EXT_PLANTES_VIVACES_EN_POT_N1_M09</vt:lpstr>
      <vt:lpstr>PROD_EXT_PLANTES_VIVACES_EN_POT_N1_M10</vt:lpstr>
      <vt:lpstr>PROD_EXT_PLANTES_VIVACES_EN_POT_N1_M11</vt:lpstr>
      <vt:lpstr>PROD_EXT_PLANTES_VIVACES_EN_POT_N1_M12</vt:lpstr>
      <vt:lpstr>PROD_EXT_PLANTES_VIVACES_EN_POT_N1_MOY</vt:lpstr>
      <vt:lpstr>PROD_EXT_PLANTES_VIVACES_EN_POT_N2_M01</vt:lpstr>
      <vt:lpstr>PROD_EXT_PLANTES_VIVACES_EN_POT_N2_M02</vt:lpstr>
      <vt:lpstr>PROD_EXT_PLANTES_VIVACES_EN_POT_N2_M03</vt:lpstr>
      <vt:lpstr>PROD_EXT_PLANTES_VIVACES_EN_POT_N2_M04</vt:lpstr>
      <vt:lpstr>PROD_EXT_PLANTES_VIVACES_EN_POT_N2_M05</vt:lpstr>
      <vt:lpstr>PROD_EXT_PLANTES_VIVACES_EN_POT_N2_M06</vt:lpstr>
      <vt:lpstr>PROD_EXT_PLANTES_VIVACES_EN_POT_N2_M07</vt:lpstr>
      <vt:lpstr>PROD_EXT_PLANTES_VIVACES_EN_POT_N2_M08</vt:lpstr>
      <vt:lpstr>PROD_EXT_PLANTES_VIVACES_EN_POT_N2_M09</vt:lpstr>
      <vt:lpstr>PROD_EXT_PLANTES_VIVACES_EN_POT_N2_M10</vt:lpstr>
      <vt:lpstr>PROD_EXT_PLANTES_VIVACES_EN_POT_N2_M11</vt:lpstr>
      <vt:lpstr>PROD_EXT_PLANTES_VIVACES_EN_POT_N2_M12</vt:lpstr>
      <vt:lpstr>PROD_EXT_PLANTES_VIVACES_EN_POT_N2_MOY</vt:lpstr>
      <vt:lpstr>PROD_EXT_PLANTES_VIVACES_PLEINE_TERRE_N_M01</vt:lpstr>
      <vt:lpstr>PROD_EXT_PLANTES_VIVACES_PLEINE_TERRE_N_M02</vt:lpstr>
      <vt:lpstr>PROD_EXT_PLANTES_VIVACES_PLEINE_TERRE_N_M03</vt:lpstr>
      <vt:lpstr>PROD_EXT_PLANTES_VIVACES_PLEINE_TERRE_N_M04</vt:lpstr>
      <vt:lpstr>PROD_EXT_PLANTES_VIVACES_PLEINE_TERRE_N_M05</vt:lpstr>
      <vt:lpstr>PROD_EXT_PLANTES_VIVACES_PLEINE_TERRE_N_M06</vt:lpstr>
      <vt:lpstr>PROD_EXT_PLANTES_VIVACES_PLEINE_TERRE_N_M07</vt:lpstr>
      <vt:lpstr>PROD_EXT_PLANTES_VIVACES_PLEINE_TERRE_N_M08</vt:lpstr>
      <vt:lpstr>PROD_EXT_PLANTES_VIVACES_PLEINE_TERRE_N_M09</vt:lpstr>
      <vt:lpstr>PROD_EXT_PLANTES_VIVACES_PLEINE_TERRE_N_M10</vt:lpstr>
      <vt:lpstr>PROD_EXT_PLANTES_VIVACES_PLEINE_TERRE_N_M11</vt:lpstr>
      <vt:lpstr>PROD_EXT_PLANTES_VIVACES_PLEINE_TERRE_N_M12</vt:lpstr>
      <vt:lpstr>PROD_EXT_PLANTES_VIVACES_PLEINE_TERRE_N_MOY</vt:lpstr>
      <vt:lpstr>PROD_EXT_PLANTES_VIVACES_PLEINE_TERRE_N1_M01</vt:lpstr>
      <vt:lpstr>PROD_EXT_PLANTES_VIVACES_PLEINE_TERRE_N1_M02</vt:lpstr>
      <vt:lpstr>PROD_EXT_PLANTES_VIVACES_PLEINE_TERRE_N1_M03</vt:lpstr>
      <vt:lpstr>PROD_EXT_PLANTES_VIVACES_PLEINE_TERRE_N1_M04</vt:lpstr>
      <vt:lpstr>PROD_EXT_PLANTES_VIVACES_PLEINE_TERRE_N1_M05</vt:lpstr>
      <vt:lpstr>PROD_EXT_PLANTES_VIVACES_PLEINE_TERRE_N1_M06</vt:lpstr>
      <vt:lpstr>PROD_EXT_PLANTES_VIVACES_PLEINE_TERRE_N1_M07</vt:lpstr>
      <vt:lpstr>PROD_EXT_PLANTES_VIVACES_PLEINE_TERRE_N1_M08</vt:lpstr>
      <vt:lpstr>PROD_EXT_PLANTES_VIVACES_PLEINE_TERRE_N1_M09</vt:lpstr>
      <vt:lpstr>PROD_EXT_PLANTES_VIVACES_PLEINE_TERRE_N1_M10</vt:lpstr>
      <vt:lpstr>PROD_EXT_PLANTES_VIVACES_PLEINE_TERRE_N1_M11</vt:lpstr>
      <vt:lpstr>PROD_EXT_PLANTES_VIVACES_PLEINE_TERRE_N1_M12</vt:lpstr>
      <vt:lpstr>PROD_EXT_PLANTES_VIVACES_PLEINE_TERRE_N1_MOY</vt:lpstr>
      <vt:lpstr>PROD_EXT_PLANTES_VIVACES_PLEINE_TERRE_N2_M01</vt:lpstr>
      <vt:lpstr>PROD_EXT_PLANTES_VIVACES_PLEINE_TERRE_N2_M02</vt:lpstr>
      <vt:lpstr>PROD_EXT_PLANTES_VIVACES_PLEINE_TERRE_N2_M03</vt:lpstr>
      <vt:lpstr>PROD_EXT_PLANTES_VIVACES_PLEINE_TERRE_N2_M04</vt:lpstr>
      <vt:lpstr>PROD_EXT_PLANTES_VIVACES_PLEINE_TERRE_N2_M05</vt:lpstr>
      <vt:lpstr>PROD_EXT_PLANTES_VIVACES_PLEINE_TERRE_N2_M06</vt:lpstr>
      <vt:lpstr>PROD_EXT_PLANTES_VIVACES_PLEINE_TERRE_N2_M07</vt:lpstr>
      <vt:lpstr>PROD_EXT_PLANTES_VIVACES_PLEINE_TERRE_N2_M08</vt:lpstr>
      <vt:lpstr>PROD_EXT_PLANTES_VIVACES_PLEINE_TERRE_N2_M09</vt:lpstr>
      <vt:lpstr>PROD_EXT_PLANTES_VIVACES_PLEINE_TERRE_N2_M10</vt:lpstr>
      <vt:lpstr>PROD_EXT_PLANTES_VIVACES_PLEINE_TERRE_N2_M11</vt:lpstr>
      <vt:lpstr>PROD_EXT_PLANTES_VIVACES_PLEINE_TERRE_N2_M12</vt:lpstr>
      <vt:lpstr>PROD_EXT_PLANTES_VIVACES_PLEINE_TERRE_N2_MOY</vt:lpstr>
      <vt:lpstr>PROD_EXT_ROSIER_PLEINE_TERRE_N_M01</vt:lpstr>
      <vt:lpstr>PROD_EXT_ROSIER_PLEINE_TERRE_N_M02</vt:lpstr>
      <vt:lpstr>PROD_EXT_ROSIER_PLEINE_TERRE_N_M03</vt:lpstr>
      <vt:lpstr>PROD_EXT_ROSIER_PLEINE_TERRE_N_M04</vt:lpstr>
      <vt:lpstr>PROD_EXT_ROSIER_PLEINE_TERRE_N_M05</vt:lpstr>
      <vt:lpstr>PROD_EXT_ROSIER_PLEINE_TERRE_N_M06</vt:lpstr>
      <vt:lpstr>PROD_EXT_ROSIER_PLEINE_TERRE_N_M07</vt:lpstr>
      <vt:lpstr>PROD_EXT_ROSIER_PLEINE_TERRE_N_M08</vt:lpstr>
      <vt:lpstr>PROD_EXT_ROSIER_PLEINE_TERRE_N_M09</vt:lpstr>
      <vt:lpstr>PROD_EXT_ROSIER_PLEINE_TERRE_N_M10</vt:lpstr>
      <vt:lpstr>PROD_EXT_ROSIER_PLEINE_TERRE_N_M11</vt:lpstr>
      <vt:lpstr>PROD_EXT_ROSIER_PLEINE_TERRE_N_M12</vt:lpstr>
      <vt:lpstr>PROD_EXT_ROSIER_PLEINE_TERRE_N_MOY</vt:lpstr>
      <vt:lpstr>PROD_EXT_ROSIER_PLEINE_TERRE_N1_M01</vt:lpstr>
      <vt:lpstr>PROD_EXT_ROSIER_PLEINE_TERRE_N1_M02</vt:lpstr>
      <vt:lpstr>PROD_EXT_ROSIER_PLEINE_TERRE_N1_M03</vt:lpstr>
      <vt:lpstr>PROD_EXT_ROSIER_PLEINE_TERRE_N1_M04</vt:lpstr>
      <vt:lpstr>PROD_EXT_ROSIER_PLEINE_TERRE_N1_M05</vt:lpstr>
      <vt:lpstr>PROD_EXT_ROSIER_PLEINE_TERRE_N1_M06</vt:lpstr>
      <vt:lpstr>PROD_EXT_ROSIER_PLEINE_TERRE_N1_M07</vt:lpstr>
      <vt:lpstr>PROD_EXT_ROSIER_PLEINE_TERRE_N1_M08</vt:lpstr>
      <vt:lpstr>PROD_EXT_ROSIER_PLEINE_TERRE_N1_M09</vt:lpstr>
      <vt:lpstr>PROD_EXT_ROSIER_PLEINE_TERRE_N1_M10</vt:lpstr>
      <vt:lpstr>PROD_EXT_ROSIER_PLEINE_TERRE_N1_M11</vt:lpstr>
      <vt:lpstr>PROD_EXT_ROSIER_PLEINE_TERRE_N1_M12</vt:lpstr>
      <vt:lpstr>PROD_EXT_ROSIER_PLEINE_TERRE_N1_MOY</vt:lpstr>
      <vt:lpstr>PROD_EXT_ROSIER_PLEINE_TERRE_N2_M01</vt:lpstr>
      <vt:lpstr>PROD_EXT_ROSIER_PLEINE_TERRE_N2_M02</vt:lpstr>
      <vt:lpstr>PROD_EXT_ROSIER_PLEINE_TERRE_N2_M03</vt:lpstr>
      <vt:lpstr>PROD_EXT_ROSIER_PLEINE_TERRE_N2_M04</vt:lpstr>
      <vt:lpstr>PROD_EXT_ROSIER_PLEINE_TERRE_N2_M05</vt:lpstr>
      <vt:lpstr>PROD_EXT_ROSIER_PLEINE_TERRE_N2_M06</vt:lpstr>
      <vt:lpstr>PROD_EXT_ROSIER_PLEINE_TERRE_N2_M07</vt:lpstr>
      <vt:lpstr>PROD_EXT_ROSIER_PLEINE_TERRE_N2_M08</vt:lpstr>
      <vt:lpstr>PROD_EXT_ROSIER_PLEINE_TERRE_N2_M09</vt:lpstr>
      <vt:lpstr>PROD_EXT_ROSIER_PLEINE_TERRE_N2_M10</vt:lpstr>
      <vt:lpstr>PROD_EXT_ROSIER_PLEINE_TERRE_N2_M11</vt:lpstr>
      <vt:lpstr>PROD_EXT_ROSIER_PLEINE_TERRE_N2_M12</vt:lpstr>
      <vt:lpstr>PROD_EXT_ROSIER_PLEINE_TERRE_N2_MOY</vt:lpstr>
      <vt:lpstr>PROD_OSIER_N</vt:lpstr>
      <vt:lpstr>PROD_OSIER_N1</vt:lpstr>
      <vt:lpstr>PROD_OSIER_N2</vt:lpstr>
      <vt:lpstr>PRORATA_SURF_CULTURES_ANNUELLES_CONCERNEES</vt:lpstr>
      <vt:lpstr>PRORATA_SURF_CULTURES_PERENNES_CONCERNEES</vt:lpstr>
      <vt:lpstr>PT_GRAMINEE_PURE_N</vt:lpstr>
      <vt:lpstr>PT_GRAMINEE_PURE_N1</vt:lpstr>
      <vt:lpstr>PT_GRAMINEE_PURE_N2</vt:lpstr>
      <vt:lpstr>PT_LEGUMINEUSE_PURE_N</vt:lpstr>
      <vt:lpstr>PT_LEGUMINEUSE_PURE_N1</vt:lpstr>
      <vt:lpstr>PT_LEGUMINEUSE_PURE_N2</vt:lpstr>
      <vt:lpstr>PT_MELANGE_COMPLEXE_N</vt:lpstr>
      <vt:lpstr>PT_MELANGE_COMPLEXE_N1</vt:lpstr>
      <vt:lpstr>PT_MELANGE_COMPLEXE_N2</vt:lpstr>
      <vt:lpstr>PT_MELANGE_GRAMINEE_N</vt:lpstr>
      <vt:lpstr>PT_MELANGE_GRAMINEE_N1</vt:lpstr>
      <vt:lpstr>PT_MELANGE_GRAMINEE_N2</vt:lpstr>
      <vt:lpstr>PT_MELANGE_LEGUMINEUSE_N</vt:lpstr>
      <vt:lpstr>PT_MELANGE_LEGUMINEUSE_N1</vt:lpstr>
      <vt:lpstr>PT_MELANGE_LEGUMINEUSE_N2</vt:lpstr>
      <vt:lpstr>QUANTITE_AZOTE_APPORTEE_N</vt:lpstr>
      <vt:lpstr>QUANTITE_AZOTE_APPORTEE_N1</vt:lpstr>
      <vt:lpstr>QUANTITE_AZOTE_APPORTEE_N2</vt:lpstr>
      <vt:lpstr>QUANTITE_AZOTE_MINERAL</vt:lpstr>
      <vt:lpstr>QUANTITE_AZOTE_ORGA</vt:lpstr>
      <vt:lpstr>QUANTITE_SUBST_ACT_N</vt:lpstr>
      <vt:lpstr>QUANTITE_SUBST_ACT_N1</vt:lpstr>
      <vt:lpstr>QUANTITE_SUBST_ACT_N2</vt:lpstr>
      <vt:lpstr>QUANTITE_TOTALE_AZOTE</vt:lpstr>
      <vt:lpstr>QUANTITE_TOTALE_AZOTE_APPORTEE</vt:lpstr>
      <vt:lpstr>QUANTITE_TOTALE_SUBST_ACT</vt:lpstr>
      <vt:lpstr>RAISOC_EXPLOITATION</vt:lpstr>
      <vt:lpstr>RATIO_6HA_PERM_SAU</vt:lpstr>
      <vt:lpstr>RATIO_CULTURE_PPLE_SAU</vt:lpstr>
      <vt:lpstr>RATIO_SURFACE_IRRIGUEE</vt:lpstr>
      <vt:lpstr>RECUP_EAU_PLUIE</vt:lpstr>
      <vt:lpstr>RECY_POURCENTAGE_EAUX_IRRIG</vt:lpstr>
      <vt:lpstr>RECY_POURCENTAGE_SYSTEME_PARTIEL</vt:lpstr>
      <vt:lpstr>RECY_POURCENTAGE_SYSTEME_TOTAL</vt:lpstr>
      <vt:lpstr>RECY_SURF_CONCERNEE</vt:lpstr>
      <vt:lpstr>RECY_SYSTEME_TRAIT_PARTIEL</vt:lpstr>
      <vt:lpstr>RECY_SYSTEME_TRAIT_TOTAL</vt:lpstr>
      <vt:lpstr>RECY_VOLUME_EAU_IRRIG</vt:lpstr>
      <vt:lpstr>RECY_VOLUME_EAU_RECYCLE</vt:lpstr>
      <vt:lpstr>REF_ANNUAIRE</vt:lpstr>
      <vt:lpstr>REGION_EXPLOITATION_SIEGE</vt:lpstr>
      <vt:lpstr>RENDEMENT_PARCELLE</vt:lpstr>
      <vt:lpstr>RESULTAT_AUDIT</vt:lpstr>
      <vt:lpstr>RESULTAT_AZOTE_ORGA</vt:lpstr>
      <vt:lpstr>RESULTAT_BILAN_AZOTE</vt:lpstr>
      <vt:lpstr>RESULTAT_BILAN_IAE</vt:lpstr>
      <vt:lpstr>RESULTAT_CAMPAGNE_COLLECTIVE</vt:lpstr>
      <vt:lpstr>RESULTAT_COLLECTE_DONNEES</vt:lpstr>
      <vt:lpstr>RESULTAT_COUVERT_VEGETAL</vt:lpstr>
      <vt:lpstr>RESULTAT_COUVERTURE_SOLS</vt:lpstr>
      <vt:lpstr>RESULTAT_CULTURES_HORS_SOL</vt:lpstr>
      <vt:lpstr>RESULTAT_DIAGNOSTIC_PRECOCE</vt:lpstr>
      <vt:lpstr>RESULTAT_DIVERSITE</vt:lpstr>
      <vt:lpstr>RESULTAT_DIVERSITE_ARBO</vt:lpstr>
      <vt:lpstr>RESULTAT_DIVERSITE_IAE</vt:lpstr>
      <vt:lpstr>RESULTAT_DIVERSITE_LEG_FRUITS</vt:lpstr>
      <vt:lpstr>RESULTAT_DIVERSITE_VIGNE</vt:lpstr>
      <vt:lpstr>RESULTAT_EAUX_IRRIG</vt:lpstr>
      <vt:lpstr>RESULTAT_HERBICIDES_CMR2</vt:lpstr>
      <vt:lpstr>RESULTAT_HORS_ZONE_VULNERABLE_HORS_VITI_ARBO_HORTI</vt:lpstr>
      <vt:lpstr>RESULTAT_HORS_ZONE_VULNERABLE_SAU_HORS_VITI_ARBO_HORTI</vt:lpstr>
      <vt:lpstr>RESULTAT_LEGUMINEUSES</vt:lpstr>
      <vt:lpstr>RESULTAT_MATERIEL_UTILISE</vt:lpstr>
      <vt:lpstr>RESULTAT_METHODES_ALTERNATIVES</vt:lpstr>
      <vt:lpstr>RESULTAT_NB_ESPECES_ANIMALES_ELEVEES</vt:lpstr>
      <vt:lpstr>RESULTAT_NB_ESPECES_VEG_CULTIVEES</vt:lpstr>
      <vt:lpstr>RESULTAT_NON_HERBICIDES_CMR2</vt:lpstr>
      <vt:lpstr>RESULTAT_OAD</vt:lpstr>
      <vt:lpstr>RESULTAT_PART_ARBO</vt:lpstr>
      <vt:lpstr>RESULTAT_PART_CULTURES_HORS_SOL</vt:lpstr>
      <vt:lpstr>RESULTAT_PART_LEG_FRUITS</vt:lpstr>
      <vt:lpstr>RESULTAT_PART_VIGNES</vt:lpstr>
      <vt:lpstr>RESULTAT_POIDS_CULTURE_PRINCIPALE</vt:lpstr>
      <vt:lpstr>RESULTAT_POIDS_IAE</vt:lpstr>
      <vt:lpstr>RESULTAT_PRESENCE_RUCHES</vt:lpstr>
      <vt:lpstr>RESULTAT_PRORATA_APPORTS_FERTILISANTS</vt:lpstr>
      <vt:lpstr>RESULTAT_PRORATA_SUBST_ACT</vt:lpstr>
      <vt:lpstr>RESULTAT_QUALITE_BIO_SOL</vt:lpstr>
      <vt:lpstr>RESULTAT_QUANTITE_AZOTE</vt:lpstr>
      <vt:lpstr>RESULTAT_RACES_ANIMALES_MENACEES</vt:lpstr>
      <vt:lpstr>RESULTAT_RECYCLAGE</vt:lpstr>
      <vt:lpstr>RESULTAT_RECYCLAGE_TRAITEMENT_EAUX_IRRIG</vt:lpstr>
      <vt:lpstr>RESULTAT_SAU_ARBO</vt:lpstr>
      <vt:lpstr>RESULTAT_SAU_HORTI</vt:lpstr>
      <vt:lpstr>RESULTAT_SAU_NON_FERTILISEE</vt:lpstr>
      <vt:lpstr>RESULTAT_SAU_VIGNES</vt:lpstr>
      <vt:lpstr>RESULTAT_SOLDE_MOYEN_BILAN</vt:lpstr>
      <vt:lpstr>RESULTAT_SUBST_ACT</vt:lpstr>
      <vt:lpstr>RESULTAT_SURF_ARBO_COUVERTE</vt:lpstr>
      <vt:lpstr>RESULTAT_SURF_HORTI_COUVERTE</vt:lpstr>
      <vt:lpstr>RESULTAT_SURF_HS_SYSTEME_PARTIEL</vt:lpstr>
      <vt:lpstr>RESULTAT_SURF_HS_SYSTEME_TOTAL</vt:lpstr>
      <vt:lpstr>RESULTAT_SURF_NON_TRAITEE</vt:lpstr>
      <vt:lpstr>RESULTAT_SURF_VIGNES_COUVERTE</vt:lpstr>
      <vt:lpstr>RESULTAT_SURVEILLANCE</vt:lpstr>
      <vt:lpstr>RESULTAT_SYSTEME_PARTIEL</vt:lpstr>
      <vt:lpstr>RESULTAT_SYSTEME_TOTAL</vt:lpstr>
      <vt:lpstr>RESULTAT_TAILLE_PARCELLES</vt:lpstr>
      <vt:lpstr>RESULTAT_TOTAL_APPORTS_FERTILISANTS</vt:lpstr>
      <vt:lpstr>RESULTAT_TOTAL_CULTURES_MINEURES</vt:lpstr>
      <vt:lpstr>RESULTAT_TOTAL_CULTURES_PRINCIPALES</vt:lpstr>
      <vt:lpstr>RESULTAT_TOTAL_POINTS</vt:lpstr>
      <vt:lpstr>RESULTAT_TOTAL_POINTS_MENACEES</vt:lpstr>
      <vt:lpstr>RESULTAT_VAR_VEG_MENACEES</vt:lpstr>
      <vt:lpstr>RESULTAT_ZONE_VULNERABLE_SAU_HORS_VITI_ARBO_HORTI</vt:lpstr>
      <vt:lpstr>RESULTAT_ZONE_VULNERABLE_SURF_HORS_VITI_ARBO_HORTI</vt:lpstr>
      <vt:lpstr>RESULTATS_POINTS_DEMARCHE_COLL</vt:lpstr>
      <vt:lpstr>RESULTATS_POINTS_PRATIQUES</vt:lpstr>
      <vt:lpstr>RESULTATS_POINTS_PRATIQUES_AGRO</vt:lpstr>
      <vt:lpstr>RESULTATS_POINTS_UTILISATION_MATERIEL</vt:lpstr>
      <vt:lpstr>RESULTATS_PRELEVE_ETIAGE</vt:lpstr>
      <vt:lpstr>RIZ_N</vt:lpstr>
      <vt:lpstr>RIZ_N1</vt:lpstr>
      <vt:lpstr>RIZ_N2</vt:lpstr>
      <vt:lpstr>SAU_CULTIVEE_HORTI_HORS_SOL_N_M01</vt:lpstr>
      <vt:lpstr>SAU_CULTIVEE_HORTI_HORS_SOL_N_M02</vt:lpstr>
      <vt:lpstr>SAU_CULTIVEE_HORTI_HORS_SOL_N_M03</vt:lpstr>
      <vt:lpstr>SAU_CULTIVEE_HORTI_HORS_SOL_N_M04</vt:lpstr>
      <vt:lpstr>SAU_CULTIVEE_HORTI_HORS_SOL_N_M05</vt:lpstr>
      <vt:lpstr>SAU_CULTIVEE_HORTI_HORS_SOL_N_M06</vt:lpstr>
      <vt:lpstr>SAU_CULTIVEE_HORTI_HORS_SOL_N_M07</vt:lpstr>
      <vt:lpstr>SAU_CULTIVEE_HORTI_HORS_SOL_N_M08</vt:lpstr>
      <vt:lpstr>SAU_CULTIVEE_HORTI_HORS_SOL_N_M09</vt:lpstr>
      <vt:lpstr>SAU_CULTIVEE_HORTI_HORS_SOL_N_M10</vt:lpstr>
      <vt:lpstr>SAU_CULTIVEE_HORTI_HORS_SOL_N_M11</vt:lpstr>
      <vt:lpstr>SAU_CULTIVEE_HORTI_HORS_SOL_N_M12</vt:lpstr>
      <vt:lpstr>SAU_CULTIVEE_HORTI_HORS_SOL_N_MOY</vt:lpstr>
      <vt:lpstr>SAU_CULTIVEE_HORTI_HORS_SOL_N1_M01</vt:lpstr>
      <vt:lpstr>SAU_CULTIVEE_HORTI_HORS_SOL_N1_M02</vt:lpstr>
      <vt:lpstr>SAU_CULTIVEE_HORTI_HORS_SOL_N1_M03</vt:lpstr>
      <vt:lpstr>SAU_CULTIVEE_HORTI_HORS_SOL_N1_M04</vt:lpstr>
      <vt:lpstr>SAU_CULTIVEE_HORTI_HORS_SOL_N1_M05</vt:lpstr>
      <vt:lpstr>SAU_CULTIVEE_HORTI_HORS_SOL_N1_M06</vt:lpstr>
      <vt:lpstr>SAU_CULTIVEE_HORTI_HORS_SOL_N1_M07</vt:lpstr>
      <vt:lpstr>SAU_CULTIVEE_HORTI_HORS_SOL_N1_M08</vt:lpstr>
      <vt:lpstr>SAU_CULTIVEE_HORTI_HORS_SOL_N1_M09</vt:lpstr>
      <vt:lpstr>SAU_CULTIVEE_HORTI_HORS_SOL_N1_M10</vt:lpstr>
      <vt:lpstr>SAU_CULTIVEE_HORTI_HORS_SOL_N1_M11</vt:lpstr>
      <vt:lpstr>SAU_CULTIVEE_HORTI_HORS_SOL_N1_M12</vt:lpstr>
      <vt:lpstr>SAU_CULTIVEE_HORTI_HORS_SOL_N1_MOY</vt:lpstr>
      <vt:lpstr>SAU_CULTIVEE_HORTI_HORS_SOL_N2_M01</vt:lpstr>
      <vt:lpstr>SAU_CULTIVEE_HORTI_HORS_SOL_N2_M02</vt:lpstr>
      <vt:lpstr>SAU_CULTIVEE_HORTI_HORS_SOL_N2_M03</vt:lpstr>
      <vt:lpstr>SAU_CULTIVEE_HORTI_HORS_SOL_N2_M04</vt:lpstr>
      <vt:lpstr>SAU_CULTIVEE_HORTI_HORS_SOL_N2_M05</vt:lpstr>
      <vt:lpstr>SAU_CULTIVEE_HORTI_HORS_SOL_N2_M06</vt:lpstr>
      <vt:lpstr>SAU_CULTIVEE_HORTI_HORS_SOL_N2_M07</vt:lpstr>
      <vt:lpstr>SAU_CULTIVEE_HORTI_HORS_SOL_N2_M08</vt:lpstr>
      <vt:lpstr>SAU_CULTIVEE_HORTI_HORS_SOL_N2_M09</vt:lpstr>
      <vt:lpstr>SAU_CULTIVEE_HORTI_HORS_SOL_N2_M10</vt:lpstr>
      <vt:lpstr>SAU_CULTIVEE_HORTI_HORS_SOL_N2_M11</vt:lpstr>
      <vt:lpstr>SAU_CULTIVEE_HORTI_HORS_SOL_N2_M12</vt:lpstr>
      <vt:lpstr>SAU_CULTIVEE_HORTI_HORS_SOL_N2_MOY</vt:lpstr>
      <vt:lpstr>SAU_CULTIVEE_HORTI_PEPINIERE_N_M01</vt:lpstr>
      <vt:lpstr>SAU_CULTIVEE_HORTI_PEPINIERE_N_M02</vt:lpstr>
      <vt:lpstr>SAU_CULTIVEE_HORTI_PEPINIERE_N_M03</vt:lpstr>
      <vt:lpstr>SAU_CULTIVEE_HORTI_PEPINIERE_N_M04</vt:lpstr>
      <vt:lpstr>SAU_CULTIVEE_HORTI_PEPINIERE_N_M05</vt:lpstr>
      <vt:lpstr>SAU_CULTIVEE_HORTI_PEPINIERE_N_M06</vt:lpstr>
      <vt:lpstr>SAU_CULTIVEE_HORTI_PEPINIERE_N_M07</vt:lpstr>
      <vt:lpstr>SAU_CULTIVEE_HORTI_PEPINIERE_N_M08</vt:lpstr>
      <vt:lpstr>SAU_CULTIVEE_HORTI_PEPINIERE_N_M09</vt:lpstr>
      <vt:lpstr>SAU_CULTIVEE_HORTI_PEPINIERE_N_M10</vt:lpstr>
      <vt:lpstr>SAU_CULTIVEE_HORTI_PEPINIERE_N_M11</vt:lpstr>
      <vt:lpstr>SAU_CULTIVEE_HORTI_PEPINIERE_N_M12</vt:lpstr>
      <vt:lpstr>SAU_CULTIVEE_HORTI_PEPINIERE_N_MOY</vt:lpstr>
      <vt:lpstr>SAU_CULTIVEE_HORTI_PEPINIERE_N1_M01</vt:lpstr>
      <vt:lpstr>SAU_CULTIVEE_HORTI_PEPINIERE_N1_M02</vt:lpstr>
      <vt:lpstr>SAU_CULTIVEE_HORTI_PEPINIERE_N1_M03</vt:lpstr>
      <vt:lpstr>SAU_CULTIVEE_HORTI_PEPINIERE_N1_M04</vt:lpstr>
      <vt:lpstr>SAU_CULTIVEE_HORTI_PEPINIERE_N1_M05</vt:lpstr>
      <vt:lpstr>SAU_CULTIVEE_HORTI_PEPINIERE_N1_M06</vt:lpstr>
      <vt:lpstr>SAU_CULTIVEE_HORTI_PEPINIERE_N1_M07</vt:lpstr>
      <vt:lpstr>SAU_CULTIVEE_HORTI_PEPINIERE_N1_M08</vt:lpstr>
      <vt:lpstr>SAU_CULTIVEE_HORTI_PEPINIERE_N1_M09</vt:lpstr>
      <vt:lpstr>SAU_CULTIVEE_HORTI_PEPINIERE_N1_M10</vt:lpstr>
      <vt:lpstr>SAU_CULTIVEE_HORTI_PEPINIERE_N1_M11</vt:lpstr>
      <vt:lpstr>SAU_CULTIVEE_HORTI_PEPINIERE_N1_M12</vt:lpstr>
      <vt:lpstr>SAU_CULTIVEE_HORTI_PEPINIERE_N1_MOY</vt:lpstr>
      <vt:lpstr>SAU_CULTIVEE_HORTI_PEPINIERE_N2_M01</vt:lpstr>
      <vt:lpstr>SAU_CULTIVEE_HORTI_PEPINIERE_N2_M02</vt:lpstr>
      <vt:lpstr>SAU_CULTIVEE_HORTI_PEPINIERE_N2_M03</vt:lpstr>
      <vt:lpstr>SAU_CULTIVEE_HORTI_PEPINIERE_N2_M04</vt:lpstr>
      <vt:lpstr>SAU_CULTIVEE_HORTI_PEPINIERE_N2_M05</vt:lpstr>
      <vt:lpstr>SAU_CULTIVEE_HORTI_PEPINIERE_N2_M06</vt:lpstr>
      <vt:lpstr>SAU_CULTIVEE_HORTI_PEPINIERE_N2_M07</vt:lpstr>
      <vt:lpstr>SAU_CULTIVEE_HORTI_PEPINIERE_N2_M08</vt:lpstr>
      <vt:lpstr>SAU_CULTIVEE_HORTI_PEPINIERE_N2_M09</vt:lpstr>
      <vt:lpstr>SAU_CULTIVEE_HORTI_PEPINIERE_N2_M10</vt:lpstr>
      <vt:lpstr>SAU_CULTIVEE_HORTI_PEPINIERE_N2_M11</vt:lpstr>
      <vt:lpstr>SAU_CULTIVEE_HORTI_PEPINIERE_N2_M12</vt:lpstr>
      <vt:lpstr>SAU_CULTIVEE_HORTI_PEPINIERE_N2_MOY</vt:lpstr>
      <vt:lpstr>SAU_HORS_PRAIRIES_PERM</vt:lpstr>
      <vt:lpstr>SAU_N</vt:lpstr>
      <vt:lpstr>SAU_N1</vt:lpstr>
      <vt:lpstr>SAU_N2</vt:lpstr>
      <vt:lpstr>SAU_TOTAL_HORTI_HORS_SOL_N_M01</vt:lpstr>
      <vt:lpstr>SAU_TOTAL_HORTI_HORS_SOL_N_M02</vt:lpstr>
      <vt:lpstr>SAU_TOTAL_HORTI_HORS_SOL_N_M03</vt:lpstr>
      <vt:lpstr>SAU_TOTAL_HORTI_HORS_SOL_N_M04</vt:lpstr>
      <vt:lpstr>SAU_TOTAL_HORTI_HORS_SOL_N_M05</vt:lpstr>
      <vt:lpstr>SAU_TOTAL_HORTI_HORS_SOL_N_M06</vt:lpstr>
      <vt:lpstr>SAU_TOTAL_HORTI_HORS_SOL_N_M07</vt:lpstr>
      <vt:lpstr>SAU_TOTAL_HORTI_HORS_SOL_N_M08</vt:lpstr>
      <vt:lpstr>SAU_TOTAL_HORTI_HORS_SOL_N_M09</vt:lpstr>
      <vt:lpstr>SAU_TOTAL_HORTI_HORS_SOL_N_M10</vt:lpstr>
      <vt:lpstr>SAU_TOTAL_HORTI_HORS_SOL_N_M11</vt:lpstr>
      <vt:lpstr>SAU_TOTAL_HORTI_HORS_SOL_N_M12</vt:lpstr>
      <vt:lpstr>SAU_TOTAL_HORTI_HORS_SOL_N_MOY</vt:lpstr>
      <vt:lpstr>SAU_TOTAL_HORTI_HORS_SOL_N1_M01</vt:lpstr>
      <vt:lpstr>SAU_TOTAL_HORTI_HORS_SOL_N1_M02</vt:lpstr>
      <vt:lpstr>SAU_TOTAL_HORTI_HORS_SOL_N1_M03</vt:lpstr>
      <vt:lpstr>SAU_TOTAL_HORTI_HORS_SOL_N1_M04</vt:lpstr>
      <vt:lpstr>SAU_TOTAL_HORTI_HORS_SOL_N1_M05</vt:lpstr>
      <vt:lpstr>SAU_TOTAL_HORTI_HORS_SOL_N1_M06</vt:lpstr>
      <vt:lpstr>SAU_TOTAL_HORTI_HORS_SOL_N1_M07</vt:lpstr>
      <vt:lpstr>SAU_TOTAL_HORTI_HORS_SOL_N1_M08</vt:lpstr>
      <vt:lpstr>SAU_TOTAL_HORTI_HORS_SOL_N1_M09</vt:lpstr>
      <vt:lpstr>SAU_TOTAL_HORTI_HORS_SOL_N1_M10</vt:lpstr>
      <vt:lpstr>SAU_TOTAL_HORTI_HORS_SOL_N1_M11</vt:lpstr>
      <vt:lpstr>SAU_TOTAL_HORTI_HORS_SOL_N1_M12</vt:lpstr>
      <vt:lpstr>SAU_TOTAL_HORTI_HORS_SOL_N1_MOY</vt:lpstr>
      <vt:lpstr>SAU_TOTAL_HORTI_HORS_SOL_N2_M01</vt:lpstr>
      <vt:lpstr>SAU_TOTAL_HORTI_HORS_SOL_N2_M02</vt:lpstr>
      <vt:lpstr>SAU_TOTAL_HORTI_HORS_SOL_N2_M03</vt:lpstr>
      <vt:lpstr>SAU_TOTAL_HORTI_HORS_SOL_N2_M04</vt:lpstr>
      <vt:lpstr>SAU_TOTAL_HORTI_HORS_SOL_N2_M05</vt:lpstr>
      <vt:lpstr>SAU_TOTAL_HORTI_HORS_SOL_N2_M06</vt:lpstr>
      <vt:lpstr>SAU_TOTAL_HORTI_HORS_SOL_N2_M07</vt:lpstr>
      <vt:lpstr>SAU_TOTAL_HORTI_HORS_SOL_N2_M08</vt:lpstr>
      <vt:lpstr>SAU_TOTAL_HORTI_HORS_SOL_N2_M09</vt:lpstr>
      <vt:lpstr>SAU_TOTAL_HORTI_HORS_SOL_N2_M10</vt:lpstr>
      <vt:lpstr>SAU_TOTAL_HORTI_HORS_SOL_N2_M11</vt:lpstr>
      <vt:lpstr>SAU_TOTAL_HORTI_HORS_SOL_N2_M12</vt:lpstr>
      <vt:lpstr>SAU_TOTAL_HORTI_HORS_SOL_N2_MOY</vt:lpstr>
      <vt:lpstr>SAU_TOTALE_HORTI_PEPINIERE_N_M01</vt:lpstr>
      <vt:lpstr>SAU_TOTALE_HORTI_PEPINIERE_N_M02</vt:lpstr>
      <vt:lpstr>SAU_TOTALE_HORTI_PEPINIERE_N_M03</vt:lpstr>
      <vt:lpstr>SAU_TOTALE_HORTI_PEPINIERE_N_M04</vt:lpstr>
      <vt:lpstr>SAU_TOTALE_HORTI_PEPINIERE_N_M05</vt:lpstr>
      <vt:lpstr>SAU_TOTALE_HORTI_PEPINIERE_N_M06</vt:lpstr>
      <vt:lpstr>SAU_TOTALE_HORTI_PEPINIERE_N_M07</vt:lpstr>
      <vt:lpstr>SAU_TOTALE_HORTI_PEPINIERE_N_M08</vt:lpstr>
      <vt:lpstr>SAU_TOTALE_HORTI_PEPINIERE_N_M09</vt:lpstr>
      <vt:lpstr>SAU_TOTALE_HORTI_PEPINIERE_N_M10</vt:lpstr>
      <vt:lpstr>SAU_TOTALE_HORTI_PEPINIERE_N_M11</vt:lpstr>
      <vt:lpstr>SAU_TOTALE_HORTI_PEPINIERE_N_M12</vt:lpstr>
      <vt:lpstr>SAU_TOTALE_HORTI_PEPINIERE_N_MOY</vt:lpstr>
      <vt:lpstr>SAU_TOTALE_HORTI_PEPINIERE_N1_M01</vt:lpstr>
      <vt:lpstr>SAU_TOTALE_HORTI_PEPINIERE_N1_M02</vt:lpstr>
      <vt:lpstr>SAU_TOTALE_HORTI_PEPINIERE_N1_M03</vt:lpstr>
      <vt:lpstr>SAU_TOTALE_HORTI_PEPINIERE_N1_M04</vt:lpstr>
      <vt:lpstr>SAU_TOTALE_HORTI_PEPINIERE_N1_M05</vt:lpstr>
      <vt:lpstr>SAU_TOTALE_HORTI_PEPINIERE_N1_M06</vt:lpstr>
      <vt:lpstr>SAU_TOTALE_HORTI_PEPINIERE_N1_M07</vt:lpstr>
      <vt:lpstr>SAU_TOTALE_HORTI_PEPINIERE_N1_M08</vt:lpstr>
      <vt:lpstr>SAU_TOTALE_HORTI_PEPINIERE_N1_M09</vt:lpstr>
      <vt:lpstr>SAU_TOTALE_HORTI_PEPINIERE_N1_M10</vt:lpstr>
      <vt:lpstr>SAU_TOTALE_HORTI_PEPINIERE_N1_M11</vt:lpstr>
      <vt:lpstr>SAU_TOTALE_HORTI_PEPINIERE_N1_M12</vt:lpstr>
      <vt:lpstr>SAU_TOTALE_HORTI_PEPINIERE_N1_MOY</vt:lpstr>
      <vt:lpstr>SAU_TOTALE_HORTI_PEPINIERE_N2_M01</vt:lpstr>
      <vt:lpstr>SAU_TOTALE_HORTI_PEPINIERE_N2_M02</vt:lpstr>
      <vt:lpstr>SAU_TOTALE_HORTI_PEPINIERE_N2_M03</vt:lpstr>
      <vt:lpstr>SAU_TOTALE_HORTI_PEPINIERE_N2_M04</vt:lpstr>
      <vt:lpstr>SAU_TOTALE_HORTI_PEPINIERE_N2_M05</vt:lpstr>
      <vt:lpstr>SAU_TOTALE_HORTI_PEPINIERE_N2_M06</vt:lpstr>
      <vt:lpstr>SAU_TOTALE_HORTI_PEPINIERE_N2_M07</vt:lpstr>
      <vt:lpstr>SAU_TOTALE_HORTI_PEPINIERE_N2_M08</vt:lpstr>
      <vt:lpstr>SAU_TOTALE_HORTI_PEPINIERE_N2_M09</vt:lpstr>
      <vt:lpstr>SAU_TOTALE_HORTI_PEPINIERE_N2_M10</vt:lpstr>
      <vt:lpstr>SAU_TOTALE_HORTI_PEPINIERE_N2_M11</vt:lpstr>
      <vt:lpstr>SAU_TOTALE_HORTI_PEPINIERE_N2_M12</vt:lpstr>
      <vt:lpstr>SAU_TOTALE_HORTI_PEPINIERE_N2_MOY</vt:lpstr>
      <vt:lpstr>SEPARATION_CULTURE_MARAICHAGE_N</vt:lpstr>
      <vt:lpstr>SEPARATION_CULTURE_MARAICHAGE_N1</vt:lpstr>
      <vt:lpstr>SEPARATION_CULTURE_MARAICHAGE_N2</vt:lpstr>
      <vt:lpstr>SEPARATION_CULTURE_PROD_SEMENCE_N</vt:lpstr>
      <vt:lpstr>SEPARATION_CULTURE_PROD_SEMENCE_N1</vt:lpstr>
      <vt:lpstr>SEPARATION_CULTURE_PROD_SEMENCE_N2</vt:lpstr>
      <vt:lpstr>SIRET_EXPLOITATION</vt:lpstr>
      <vt:lpstr>SITE_INTERNET_EXPLOITATION</vt:lpstr>
      <vt:lpstr>SNA_N</vt:lpstr>
      <vt:lpstr>SNA_N1</vt:lpstr>
      <vt:lpstr>SNA_N2</vt:lpstr>
      <vt:lpstr>SNE_N</vt:lpstr>
      <vt:lpstr>SNE_N1</vt:lpstr>
      <vt:lpstr>SNE_N2</vt:lpstr>
      <vt:lpstr>SOJA_N</vt:lpstr>
      <vt:lpstr>SOJA_N1</vt:lpstr>
      <vt:lpstr>SOJA_N2</vt:lpstr>
      <vt:lpstr>SOL_NU_N</vt:lpstr>
      <vt:lpstr>SOL_NU_N1</vt:lpstr>
      <vt:lpstr>SOL_NU_N2</vt:lpstr>
      <vt:lpstr>SOLDE_MOYEN_BILAN</vt:lpstr>
      <vt:lpstr>SOMME_AUTRES_CULTURES</vt:lpstr>
      <vt:lpstr>SOMME_CULTURES_ARABLES</vt:lpstr>
      <vt:lpstr>SOMME_PARCELLES_INF_6HA</vt:lpstr>
      <vt:lpstr>STATUT_JURIDIQUE</vt:lpstr>
      <vt:lpstr>SUBST_ACT_PLAFOND_RETENU</vt:lpstr>
      <vt:lpstr>SUBST_ACT_PLANCHER_RETENU</vt:lpstr>
      <vt:lpstr>SUPERFICIE_TOTALE_IRRIGABLE</vt:lpstr>
      <vt:lpstr>SUPERFICIE_TOTALE_IRRIGUEE</vt:lpstr>
      <vt:lpstr>SURF_CULTURES_ANNUELLES_CONCERNEE</vt:lpstr>
      <vt:lpstr>SURF_CULTURES_MINEURES</vt:lpstr>
      <vt:lpstr>SURF_CULTURES_PERENNES_CONCERNEE</vt:lpstr>
      <vt:lpstr>SURF_FOUILLES_N</vt:lpstr>
      <vt:lpstr>SURF_FOUILLES_N1</vt:lpstr>
      <vt:lpstr>SURF_FOUILLES_N2</vt:lpstr>
      <vt:lpstr>SURF_HORS_SOL_NON_CULTIVEE_N_M01</vt:lpstr>
      <vt:lpstr>SURF_HORS_SOL_NON_CULTIVEE_N_M02</vt:lpstr>
      <vt:lpstr>SURF_HORS_SOL_NON_CULTIVEE_N_M03</vt:lpstr>
      <vt:lpstr>SURF_HORS_SOL_NON_CULTIVEE_N_M04</vt:lpstr>
      <vt:lpstr>SURF_HORS_SOL_NON_CULTIVEE_N_M05</vt:lpstr>
      <vt:lpstr>SURF_HORS_SOL_NON_CULTIVEE_N_M06</vt:lpstr>
      <vt:lpstr>SURF_HORS_SOL_NON_CULTIVEE_N_M07</vt:lpstr>
      <vt:lpstr>SURF_HORS_SOL_NON_CULTIVEE_N_M08</vt:lpstr>
      <vt:lpstr>SURF_HORS_SOL_NON_CULTIVEE_N_M09</vt:lpstr>
      <vt:lpstr>SURF_HORS_SOL_NON_CULTIVEE_N_M10</vt:lpstr>
      <vt:lpstr>SURF_HORS_SOL_NON_CULTIVEE_N_M11</vt:lpstr>
      <vt:lpstr>SURF_HORS_SOL_NON_CULTIVEE_N_M12</vt:lpstr>
      <vt:lpstr>SURF_HORS_SOL_NON_CULTIVEE_N_MOY</vt:lpstr>
      <vt:lpstr>SURF_HORS_SOL_NON_CULTIVEE_N1_M01</vt:lpstr>
      <vt:lpstr>SURF_HORS_SOL_NON_CULTIVEE_N1_M02</vt:lpstr>
      <vt:lpstr>SURF_HORS_SOL_NON_CULTIVEE_N1_M03</vt:lpstr>
      <vt:lpstr>SURF_HORS_SOL_NON_CULTIVEE_N1_M04</vt:lpstr>
      <vt:lpstr>SURF_HORS_SOL_NON_CULTIVEE_N1_M05</vt:lpstr>
      <vt:lpstr>SURF_HORS_SOL_NON_CULTIVEE_N1_M06</vt:lpstr>
      <vt:lpstr>SURF_HORS_SOL_NON_CULTIVEE_N1_M07</vt:lpstr>
      <vt:lpstr>SURF_HORS_SOL_NON_CULTIVEE_N1_M08</vt:lpstr>
      <vt:lpstr>SURF_HORS_SOL_NON_CULTIVEE_N1_M09</vt:lpstr>
      <vt:lpstr>SURF_HORS_SOL_NON_CULTIVEE_N1_M10</vt:lpstr>
      <vt:lpstr>SURF_HORS_SOL_NON_CULTIVEE_N1_M11</vt:lpstr>
      <vt:lpstr>SURF_HORS_SOL_NON_CULTIVEE_N1_M12</vt:lpstr>
      <vt:lpstr>SURF_HORS_SOL_NON_CULTIVEE_N1_MOY</vt:lpstr>
      <vt:lpstr>SURF_HORS_SOL_NON_CULTIVEE_N2_M01</vt:lpstr>
      <vt:lpstr>SURF_HORS_SOL_NON_CULTIVEE_N2_M02</vt:lpstr>
      <vt:lpstr>SURF_HORS_SOL_NON_CULTIVEE_N2_M03</vt:lpstr>
      <vt:lpstr>SURF_HORS_SOL_NON_CULTIVEE_N2_M04</vt:lpstr>
      <vt:lpstr>SURF_HORS_SOL_NON_CULTIVEE_N2_M05</vt:lpstr>
      <vt:lpstr>SURF_HORS_SOL_NON_CULTIVEE_N2_M06</vt:lpstr>
      <vt:lpstr>SURF_HORS_SOL_NON_CULTIVEE_N2_M07</vt:lpstr>
      <vt:lpstr>SURF_HORS_SOL_NON_CULTIVEE_N2_M08</vt:lpstr>
      <vt:lpstr>SURF_HORS_SOL_NON_CULTIVEE_N2_M09</vt:lpstr>
      <vt:lpstr>SURF_HORS_SOL_NON_CULTIVEE_N2_M10</vt:lpstr>
      <vt:lpstr>SURF_HORS_SOL_NON_CULTIVEE_N2_M11</vt:lpstr>
      <vt:lpstr>SURF_HORS_SOL_NON_CULTIVEE_N2_M12</vt:lpstr>
      <vt:lpstr>SURF_HORS_SOL_NON_CULTIVEE_N2_MOY</vt:lpstr>
      <vt:lpstr>SURF_HORTI_EQUIPEE</vt:lpstr>
      <vt:lpstr>SURF_HORTICULTURE</vt:lpstr>
      <vt:lpstr>SURF_HS_RECYCL_TRAIT_PARTIEL</vt:lpstr>
      <vt:lpstr>SURF_HS_RECYCL_TRAIT_TOTAL</vt:lpstr>
      <vt:lpstr>SURF_IRRIGUEE</vt:lpstr>
      <vt:lpstr>SURF_IRRIGUEE_AVEC_MATERIEL</vt:lpstr>
      <vt:lpstr>SURF_IRRIGUEE_AVEC_PRATIQUES_AGRO</vt:lpstr>
      <vt:lpstr>SURF_LEGUMINEUSES_INTER_RANGS</vt:lpstr>
      <vt:lpstr>SURF_PP_LEGUMINEUSES</vt:lpstr>
      <vt:lpstr>SURF_PP_NON_TRAITEES</vt:lpstr>
      <vt:lpstr>SURF_PRAIRIES_PERM</vt:lpstr>
      <vt:lpstr>SURF_PROTEAGINEUX</vt:lpstr>
      <vt:lpstr>SURF_REELLES_IAE</vt:lpstr>
      <vt:lpstr>SURF_TOT_EXP_N</vt:lpstr>
      <vt:lpstr>SURF_TOT_EXP_N1</vt:lpstr>
      <vt:lpstr>SURF_TOT_EXP_N2</vt:lpstr>
      <vt:lpstr>SURF_TOT_NON_CULTIVEE_N_M01</vt:lpstr>
      <vt:lpstr>SURF_TOT_NON_CULTIVEE_N_M02</vt:lpstr>
      <vt:lpstr>SURF_TOT_NON_CULTIVEE_N_M03</vt:lpstr>
      <vt:lpstr>SURF_TOT_NON_CULTIVEE_N_M04</vt:lpstr>
      <vt:lpstr>SURF_TOT_NON_CULTIVEE_N_M05</vt:lpstr>
      <vt:lpstr>SURF_TOT_NON_CULTIVEE_N_M06</vt:lpstr>
      <vt:lpstr>SURF_TOT_NON_CULTIVEE_N_M07</vt:lpstr>
      <vt:lpstr>SURF_TOT_NON_CULTIVEE_N_M08</vt:lpstr>
      <vt:lpstr>SURF_TOT_NON_CULTIVEE_N_M09</vt:lpstr>
      <vt:lpstr>SURF_TOT_NON_CULTIVEE_N_M10</vt:lpstr>
      <vt:lpstr>SURF_TOT_NON_CULTIVEE_N_M11</vt:lpstr>
      <vt:lpstr>SURF_TOT_NON_CULTIVEE_N_M12</vt:lpstr>
      <vt:lpstr>SURF_TOT_NON_CULTIVEE_N_MOY</vt:lpstr>
      <vt:lpstr>SURF_TOT_NON_CULTIVEE_N1_M01</vt:lpstr>
      <vt:lpstr>SURF_TOT_NON_CULTIVEE_N1_M02</vt:lpstr>
      <vt:lpstr>SURF_TOT_NON_CULTIVEE_N1_M03</vt:lpstr>
      <vt:lpstr>SURF_TOT_NON_CULTIVEE_N1_M04</vt:lpstr>
      <vt:lpstr>SURF_TOT_NON_CULTIVEE_N1_M05</vt:lpstr>
      <vt:lpstr>SURF_TOT_NON_CULTIVEE_N1_M06</vt:lpstr>
      <vt:lpstr>SURF_TOT_NON_CULTIVEE_N1_M07</vt:lpstr>
      <vt:lpstr>SURF_TOT_NON_CULTIVEE_N1_M08</vt:lpstr>
      <vt:lpstr>SURF_TOT_NON_CULTIVEE_N1_M09</vt:lpstr>
      <vt:lpstr>SURF_TOT_NON_CULTIVEE_N1_M10</vt:lpstr>
      <vt:lpstr>SURF_TOT_NON_CULTIVEE_N1_M11</vt:lpstr>
      <vt:lpstr>SURF_TOT_NON_CULTIVEE_N1_M12</vt:lpstr>
      <vt:lpstr>SURF_TOT_NON_CULTIVEE_N1_MOY</vt:lpstr>
      <vt:lpstr>SURF_TOT_NON_CULTIVEE_N2_M01</vt:lpstr>
      <vt:lpstr>SURF_TOT_NON_CULTIVEE_N2_M02</vt:lpstr>
      <vt:lpstr>SURF_TOT_NON_CULTIVEE_N2_M03</vt:lpstr>
      <vt:lpstr>SURF_TOT_NON_CULTIVEE_N2_M04</vt:lpstr>
      <vt:lpstr>SURF_TOT_NON_CULTIVEE_N2_M05</vt:lpstr>
      <vt:lpstr>SURF_TOT_NON_CULTIVEE_N2_M06</vt:lpstr>
      <vt:lpstr>SURF_TOT_NON_CULTIVEE_N2_M07</vt:lpstr>
      <vt:lpstr>SURF_TOT_NON_CULTIVEE_N2_M08</vt:lpstr>
      <vt:lpstr>SURF_TOT_NON_CULTIVEE_N2_M09</vt:lpstr>
      <vt:lpstr>SURF_TOT_NON_CULTIVEE_N2_M10</vt:lpstr>
      <vt:lpstr>SURF_TOT_NON_CULTIVEE_N2_M11</vt:lpstr>
      <vt:lpstr>SURF_TOT_NON_CULTIVEE_N2_M12</vt:lpstr>
      <vt:lpstr>SURF_TOT_NON_CULTIVEE_N2_MOY</vt:lpstr>
      <vt:lpstr>SURF_TOTALE_CULTURES_ANNUELLES</vt:lpstr>
      <vt:lpstr>SURF_TOTALE_CULTURES_PERENNES</vt:lpstr>
      <vt:lpstr>SURF_TOTALE_NON_TRAITEE</vt:lpstr>
      <vt:lpstr>SURF_TRAVAUX_N</vt:lpstr>
      <vt:lpstr>SURF_TRAVAUX_N1</vt:lpstr>
      <vt:lpstr>SURF_TRAVAUX_N2</vt:lpstr>
      <vt:lpstr>SURF_VIGNE_ARRACHEE_N</vt:lpstr>
      <vt:lpstr>SURF_VIGNE_ARRACHEE_N1</vt:lpstr>
      <vt:lpstr>SURF_VIGNE_ARRACHEE_N2</vt:lpstr>
      <vt:lpstr>SURFACE_COUVERTE_HORTI_PEPI</vt:lpstr>
      <vt:lpstr>SURFACE_CULTURE_PRINCIPALE</vt:lpstr>
      <vt:lpstr>SURVEILLANCE_ACTIVE_POURCENTAGE_CONCERNE</vt:lpstr>
      <vt:lpstr>TEST_BECHE</vt:lpstr>
      <vt:lpstr>TOT_NB_ESPECES</vt:lpstr>
      <vt:lpstr>TOTAL_ARBORICULTURE_N</vt:lpstr>
      <vt:lpstr>TOTAL_ARBORICULTURE_N1</vt:lpstr>
      <vt:lpstr>TOTAL_ARBORICULTURE_N2</vt:lpstr>
      <vt:lpstr>TOTAL_CEREALES_N</vt:lpstr>
      <vt:lpstr>TOTAL_CEREALES_N1</vt:lpstr>
      <vt:lpstr>TOTAL_CEREALES_N2</vt:lpstr>
      <vt:lpstr>TOTAL_CMR</vt:lpstr>
      <vt:lpstr>TOTAL_CP_GC</vt:lpstr>
      <vt:lpstr>TOTAL_CP_VAM</vt:lpstr>
      <vt:lpstr>TOTAL_CULTURES_INDUSTRIELLES_N</vt:lpstr>
      <vt:lpstr>TOTAL_CULTURES_INDUSTRIELLES_N1</vt:lpstr>
      <vt:lpstr>TOTAL_CULTURES_INDUSTRIELLES_N2</vt:lpstr>
      <vt:lpstr>TOTAL_ESPECES_ELEVEES</vt:lpstr>
      <vt:lpstr>TOTAL_FIBRES_JACHERES_N</vt:lpstr>
      <vt:lpstr>TOTAL_FIBRES_JACHERES_N1</vt:lpstr>
      <vt:lpstr>TOTAL_FIBRES_JACHERES_N2</vt:lpstr>
      <vt:lpstr>TOTAL_FOURRAGES_N</vt:lpstr>
      <vt:lpstr>TOTAL_FOURRAGES_N1</vt:lpstr>
      <vt:lpstr>TOTAL_FOURRAGES_N2</vt:lpstr>
      <vt:lpstr>TOTAL_LEGUMES_FLEURS_FRUITS_N</vt:lpstr>
      <vt:lpstr>TOTAL_LEGUMES_FLEURS_FRUITS_N1</vt:lpstr>
      <vt:lpstr>TOTAL_LEGUMES_FLEURS_FRUITS_N2</vt:lpstr>
      <vt:lpstr>TOTAL_MAX_POINTS</vt:lpstr>
      <vt:lpstr>TOTAL_OLEAGINEUX_N</vt:lpstr>
      <vt:lpstr>TOTAL_OLEAGINEUX_N1</vt:lpstr>
      <vt:lpstr>TOTAL_OLEAGINEUX_N2</vt:lpstr>
      <vt:lpstr>TOTAL_PROTEAGINEUX_LEGUMINEUSES_N</vt:lpstr>
      <vt:lpstr>TOTAL_PROTEAGINEUX_LEGUMINEUSES_N1</vt:lpstr>
      <vt:lpstr>TOTAL_PROTEAGINEUX_LEGUMINEUSES_N2</vt:lpstr>
      <vt:lpstr>TOTAL_RESULTAT</vt:lpstr>
      <vt:lpstr>TOTAL_RUCHES</vt:lpstr>
      <vt:lpstr>TOTAL_SAU_HORS_VITI_ARBO_HORTI</vt:lpstr>
      <vt:lpstr>TOTAL_SURF</vt:lpstr>
      <vt:lpstr>TOTAL_SURF_ARBO_CULTURES_PERENNES</vt:lpstr>
      <vt:lpstr>TOTAL_SURF_BLE</vt:lpstr>
      <vt:lpstr>TOTAL_SURF_GC</vt:lpstr>
      <vt:lpstr>TOTAL_SURF_HORTI_HORS_PEPI</vt:lpstr>
      <vt:lpstr>TOTAL_SURF_LEGUMINEUSES</vt:lpstr>
      <vt:lpstr>TOTAL_SURF_VIGNE_ARBO_MARAICHAGE</vt:lpstr>
      <vt:lpstr>TOTAL_SURFACE_LEG</vt:lpstr>
      <vt:lpstr>TOTAL_SURFACES_HERBE_N</vt:lpstr>
      <vt:lpstr>TOTAL_SURFACES_HERBE_N1</vt:lpstr>
      <vt:lpstr>TOTAL_SURFACES_HERBE_N2</vt:lpstr>
      <vt:lpstr>TOTAL_SURFACES_NON_FERTILISEES</vt:lpstr>
      <vt:lpstr>TOURNESOL_N</vt:lpstr>
      <vt:lpstr>TOURNESOL_N1</vt:lpstr>
      <vt:lpstr>TOURNESOL_N2</vt:lpstr>
      <vt:lpstr>TOURNIERE_N</vt:lpstr>
      <vt:lpstr>TOURNIERE_N1</vt:lpstr>
      <vt:lpstr>TOURNIERE_N2</vt:lpstr>
      <vt:lpstr>TOUTES_CULTURES_HORS_SOL_N</vt:lpstr>
      <vt:lpstr>TOUTES_CULTURES_HORS_SOL_N1</vt:lpstr>
      <vt:lpstr>TOUTES_CULTURES_HORS_SOL_N2</vt:lpstr>
      <vt:lpstr>TRITICALE_N</vt:lpstr>
      <vt:lpstr>TRITICALE_N1</vt:lpstr>
      <vt:lpstr>TRITICALE_N2</vt:lpstr>
      <vt:lpstr>TYPE_AUDIT</vt:lpstr>
      <vt:lpstr>TYPE_CERTIF</vt:lpstr>
      <vt:lpstr>UTILISATION_CMR1</vt:lpstr>
      <vt:lpstr>UTILISATION_HERBICIDES_CMR2</vt:lpstr>
      <vt:lpstr>UTILISATION_NON_HERBICIDES_CMR2</vt:lpstr>
      <vt:lpstr>V_ACTIVITE_PRINCIPALE</vt:lpstr>
      <vt:lpstr>V_ACTIVITE_SECOND</vt:lpstr>
      <vt:lpstr>V_AUTRE_ACTIVITE</vt:lpstr>
      <vt:lpstr>VARIETE_IRRIGUEE</vt:lpstr>
      <vt:lpstr>VEGETAUX_NATURELS_N</vt:lpstr>
      <vt:lpstr>VEGETAUX_NATURELS_N1</vt:lpstr>
      <vt:lpstr>VEGETAUX_NATURELS_N2</vt:lpstr>
      <vt:lpstr>VENTE_DIRECTE</vt:lpstr>
      <vt:lpstr>VERGER_CHOIX01</vt:lpstr>
      <vt:lpstr>VERGER_CHOIX01_N</vt:lpstr>
      <vt:lpstr>VERGER_CHOIX01_N1</vt:lpstr>
      <vt:lpstr>VERGER_CHOIX01_N2</vt:lpstr>
      <vt:lpstr>VERGER_CHOIX02</vt:lpstr>
      <vt:lpstr>VERGER_CHOIX02_N</vt:lpstr>
      <vt:lpstr>VERGER_CHOIX02_N1</vt:lpstr>
      <vt:lpstr>VERGER_CHOIX02_N2</vt:lpstr>
      <vt:lpstr>VERGER_CHOIX03</vt:lpstr>
      <vt:lpstr>VERGER_CHOIX03_N</vt:lpstr>
      <vt:lpstr>VERGER_CHOIX03_N1</vt:lpstr>
      <vt:lpstr>VERGER_CHOIX03_N2</vt:lpstr>
      <vt:lpstr>VERGER_CHOIX04</vt:lpstr>
      <vt:lpstr>VERGER_CHOIX04_N</vt:lpstr>
      <vt:lpstr>VERGER_CHOIX04_N1</vt:lpstr>
      <vt:lpstr>VERGER_CHOIX04_N2</vt:lpstr>
      <vt:lpstr>VERGER_CHOIX05</vt:lpstr>
      <vt:lpstr>VERGER_CHOIX05_N</vt:lpstr>
      <vt:lpstr>VERGER_CHOIX05_N1</vt:lpstr>
      <vt:lpstr>VERGER_CHOIX05_N2</vt:lpstr>
      <vt:lpstr>VERGER_CHOIX06</vt:lpstr>
      <vt:lpstr>VERGER_CHOIX06_N</vt:lpstr>
      <vt:lpstr>VERGER_CHOIX06_N1</vt:lpstr>
      <vt:lpstr>VERGER_CHOIX06_N2</vt:lpstr>
      <vt:lpstr>VERGER_CHOIX07</vt:lpstr>
      <vt:lpstr>VERGER_CHOIX07_N</vt:lpstr>
      <vt:lpstr>VERGER_CHOIX07_N1</vt:lpstr>
      <vt:lpstr>VERGER_CHOIX07_N2</vt:lpstr>
      <vt:lpstr>VERGER_CHOIX08</vt:lpstr>
      <vt:lpstr>VERGER_CHOIX08_N</vt:lpstr>
      <vt:lpstr>VERGER_CHOIX08_N1</vt:lpstr>
      <vt:lpstr>VERGER_CHOIX08_N2</vt:lpstr>
      <vt:lpstr>VERGER_CHOIX09</vt:lpstr>
      <vt:lpstr>VERGER_CHOIX09_N</vt:lpstr>
      <vt:lpstr>VERGER_CHOIX09_N1</vt:lpstr>
      <vt:lpstr>VERGER_CHOIX09_N2</vt:lpstr>
      <vt:lpstr>VERGER_CHOIX10</vt:lpstr>
      <vt:lpstr>VERGER_CHOIX10_N</vt:lpstr>
      <vt:lpstr>VERGER_CHOIX10_N1</vt:lpstr>
      <vt:lpstr>VERGER_CHOIX10_N2</vt:lpstr>
      <vt:lpstr>VERGER_CHOIX11</vt:lpstr>
      <vt:lpstr>VERGER_CHOIX11_N</vt:lpstr>
      <vt:lpstr>VERGER_CHOIX11_N1</vt:lpstr>
      <vt:lpstr>VERGER_CHOIX11_N2</vt:lpstr>
      <vt:lpstr>VERGER_CHOIX12</vt:lpstr>
      <vt:lpstr>VERGER_CHOIX12_N</vt:lpstr>
      <vt:lpstr>VERGER_CHOIX12_N1</vt:lpstr>
      <vt:lpstr>VERGER_CHOIX12_N2</vt:lpstr>
      <vt:lpstr>VERGER_CHOIX13</vt:lpstr>
      <vt:lpstr>VERGER_CHOIX13_N</vt:lpstr>
      <vt:lpstr>VERGER_CHOIX13_N1</vt:lpstr>
      <vt:lpstr>VERGER_CHOIX13_N2</vt:lpstr>
      <vt:lpstr>VERGER_CHOIX14</vt:lpstr>
      <vt:lpstr>VERGER_CHOIX14_N</vt:lpstr>
      <vt:lpstr>VERGER_CHOIX14_N1</vt:lpstr>
      <vt:lpstr>VERGER_CHOIX14_N2</vt:lpstr>
      <vt:lpstr>VERGER_CHOIX15</vt:lpstr>
      <vt:lpstr>VERGER_CHOIX15_N</vt:lpstr>
      <vt:lpstr>VERGER_CHOIX15_N1</vt:lpstr>
      <vt:lpstr>VERGER_CHOIX15_N2</vt:lpstr>
      <vt:lpstr>VERGER_CONV_SURF</vt:lpstr>
      <vt:lpstr>VERGER_REEL_SURF</vt:lpstr>
      <vt:lpstr>VERGER_UNITE</vt:lpstr>
      <vt:lpstr>VERSION_REFERENTIEL</vt:lpstr>
      <vt:lpstr>VERSION_TRAME</vt:lpstr>
      <vt:lpstr>VIGNE_ANC_PLAFOND_IFT_HERBICIDES</vt:lpstr>
      <vt:lpstr>VIGNE_ANC_PLAFOND_IFT_HORS_HERBICIDES</vt:lpstr>
      <vt:lpstr>VIGNE_ANC_PLANCHER_IFT_HERBICIDES</vt:lpstr>
      <vt:lpstr>VIGNE_ANC_PLANCHER_IFT_HORS_HERBICIDES</vt:lpstr>
      <vt:lpstr>VIGNE_ANCIENNE_NOTATION</vt:lpstr>
      <vt:lpstr>VIGNE_CONDITION_ANCIENNE_NOTATION</vt:lpstr>
      <vt:lpstr>VIGNE_IFT_REALISE_HERBICIDES</vt:lpstr>
      <vt:lpstr>VIGNE_IFT_REALISE_HORS_HERBICIDES</vt:lpstr>
      <vt:lpstr>VIGNE_IFT_REALISE_N_HERBICIDES</vt:lpstr>
      <vt:lpstr>VIGNE_IFT_REALISE_N_HORS_HERBICIDES</vt:lpstr>
      <vt:lpstr>VIGNE_IFT_REALISE_N1_HERBICIDES</vt:lpstr>
      <vt:lpstr>VIGNE_IFT_REALISE_N1_HORS_HERBICIDES</vt:lpstr>
      <vt:lpstr>VIGNE_IFT_REALISE_N2_HERBICIDES</vt:lpstr>
      <vt:lpstr>VIGNE_IFT_REALISE_N2_HORS_HERBICIDES</vt:lpstr>
      <vt:lpstr>VIGNE_MAX_POINTS</vt:lpstr>
      <vt:lpstr>VIGNE_PLAFOND_IFT_HERBICIDES</vt:lpstr>
      <vt:lpstr>VIGNE_PLAFOND_IFT_HORS_HERBICIDES</vt:lpstr>
      <vt:lpstr>VIGNE_PLANCHER_IFT_HERBICIDES</vt:lpstr>
      <vt:lpstr>VIGNE_PLANCHER_IFT_HORS_HERBICIDES</vt:lpstr>
      <vt:lpstr>VIGNE_POURCENTAGE_SURF_CONCERNEE_PPF</vt:lpstr>
      <vt:lpstr>VIGNE_POURCENTAGE_SURF_CONCERNEE_PPF_AJ_ODP</vt:lpstr>
      <vt:lpstr>VIGNE_RESULTAT</vt:lpstr>
      <vt:lpstr>VIGNE_RESULTAT_ANC_NOTATION_HERBICIDES</vt:lpstr>
      <vt:lpstr>VIGNE_RESULTAT_ANC_NOTATION_HORS_HERBICIDES</vt:lpstr>
      <vt:lpstr>VIGNE_RESULTAT_HERBICIDES</vt:lpstr>
      <vt:lpstr>VIGNE_RESULTAT_HORS_HERBICIDES</vt:lpstr>
      <vt:lpstr>VIGNE_RESULTAT_PPF</vt:lpstr>
      <vt:lpstr>VIGNE_RESULTAT_PPF_AJ_ODP</vt:lpstr>
      <vt:lpstr>VIGNE_SURF</vt:lpstr>
      <vt:lpstr>VIGNE_SURF_UTILISATION_ODP</vt:lpstr>
      <vt:lpstr>VIGNE_SURF_UTILISATION_PPF</vt:lpstr>
      <vt:lpstr>VIGNE_SURF_UTILISATION_PPF_AJ</vt:lpstr>
      <vt:lpstr>VIGNES_N</vt:lpstr>
      <vt:lpstr>VIGNES_N1</vt:lpstr>
      <vt:lpstr>VIGNES_N2</vt:lpstr>
      <vt:lpstr>VOL_PRELEVE_ETIAGE</vt:lpstr>
      <vt:lpstr>VOL_PRELEVE_HORS_ETIAGE</vt:lpstr>
      <vt:lpstr>VOL_TOTAL_EAU</vt:lpstr>
      <vt:lpstr>ZDH_N</vt:lpstr>
      <vt:lpstr>ZDH_N1</vt:lpstr>
      <vt:lpstr>ZDH_N2</vt:lpstr>
      <vt:lpstr>SYNTHESE!Zone_d_impression</vt:lpstr>
      <vt:lpstr>ZONE_STOCKAGE_N</vt:lpstr>
      <vt:lpstr>ZONE_STOCKAGE_N1</vt:lpstr>
      <vt:lpstr>ZONE_STOCKAGE_N2</vt:lpstr>
      <vt:lpstr>ZONE_VULNERABLE_COUVERTE</vt:lpstr>
      <vt:lpstr>ZONE_VULNERABLE_NB_SEMAINES_COUVERT</vt:lpstr>
      <vt:lpstr>ZONE_VULNERABLE_POURCENT_SAU_HORS_VITI_ARBO_HORTI</vt:lpstr>
      <vt:lpstr>ZONE_VULNERABLE_POURCENT_SURF_HORS_VITI_ARBO_HORTI</vt:lpstr>
      <vt:lpstr>ZONE_VULNERABLE_RESPECT_DUREE_REGLEMENTAIRE</vt:lpstr>
      <vt:lpstr>ZONE_VULNERABLE_SURF_TOTALE_CONCERNEE</vt:lpstr>
      <vt:lpstr>ZONES_HERBACEES_CONV_SURF</vt:lpstr>
      <vt:lpstr>ZONES_HERBACEES_REEL_SURF</vt:lpstr>
      <vt:lpstr>ZONES_HERBACEES_UNITE</vt:lpstr>
      <vt:lpstr>ZONES_HUMIDES_CONV_SURF</vt:lpstr>
      <vt:lpstr>ZONES_HUMIDES_REEL_SURF</vt:lpstr>
      <vt:lpstr>ZONES_HUMIDES_UNITE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Audrey Petit</dc:creator>
  <cp:lastModifiedBy>v1.12</cp:lastModifiedBy>
  <cp:lastPrinted>2022-11-21T07:40:24Z</cp:lastPrinted>
  <dcterms:created xsi:type="dcterms:W3CDTF">2022-07-05T08:44:17Z</dcterms:created>
  <dcterms:modified xsi:type="dcterms:W3CDTF">2026-07-07T12:58:15Z</dcterms:modified>
</cp:coreProperties>
</file>